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ELL\Desktop\THAM DINH 53 HO SEN HO\"/>
    </mc:Choice>
  </mc:AlternateContent>
  <bookViews>
    <workbookView xWindow="0" yWindow="0" windowWidth="21570" windowHeight="8145"/>
  </bookViews>
  <sheets>
    <sheet name="Phương án cây 2 hộ" sheetId="5" r:id="rId1"/>
  </sheets>
  <definedNames>
    <definedName name="_xlnm.Print_Area" localSheetId="0">'Phương án cây 2 hộ'!$A$1:$U$77</definedName>
    <definedName name="_xlnm.Print_Titles" localSheetId="0">'Phương án cây 2 hộ'!$5:$8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29" i="5" l="1"/>
  <c r="O30" i="5"/>
  <c r="O31" i="5"/>
  <c r="O32" i="5"/>
  <c r="O28" i="5"/>
  <c r="O19" i="5"/>
  <c r="O20" i="5"/>
  <c r="O21" i="5"/>
  <c r="O22" i="5"/>
  <c r="O23" i="5"/>
  <c r="O24" i="5"/>
  <c r="O25" i="5"/>
  <c r="O26" i="5"/>
  <c r="O27" i="5"/>
  <c r="O18" i="5"/>
  <c r="O14" i="5"/>
  <c r="O15" i="5"/>
  <c r="O16" i="5"/>
  <c r="O17" i="5"/>
  <c r="O13" i="5"/>
  <c r="O12" i="5"/>
  <c r="O11" i="5"/>
  <c r="O35" i="5"/>
  <c r="O34" i="5"/>
  <c r="O36" i="5"/>
  <c r="O38" i="5"/>
  <c r="O37" i="5"/>
  <c r="O42" i="5"/>
  <c r="O41" i="5"/>
  <c r="O43" i="5"/>
  <c r="O44" i="5"/>
  <c r="O76" i="5"/>
  <c r="O75" i="5"/>
  <c r="P75" i="5" s="1"/>
  <c r="O74" i="5"/>
  <c r="P74" i="5" s="1"/>
  <c r="O73" i="5"/>
  <c r="P73" i="5" s="1"/>
  <c r="O72" i="5"/>
  <c r="P72" i="5" s="1"/>
  <c r="O69" i="5"/>
  <c r="P69" i="5" s="1"/>
  <c r="O70" i="5"/>
  <c r="P70" i="5" s="1"/>
  <c r="O71" i="5"/>
  <c r="P71" i="5" s="1"/>
  <c r="O68" i="5"/>
  <c r="P68" i="5" s="1"/>
  <c r="O64" i="5"/>
  <c r="P64" i="5" s="1"/>
  <c r="O65" i="5"/>
  <c r="P65" i="5" s="1"/>
  <c r="O66" i="5"/>
  <c r="P66" i="5" s="1"/>
  <c r="O63" i="5"/>
  <c r="P63" i="5" s="1"/>
  <c r="M21" i="5" l="1"/>
  <c r="P21" i="5" s="1"/>
  <c r="P33" i="5"/>
  <c r="P12" i="5"/>
  <c r="P13" i="5"/>
  <c r="P14" i="5"/>
  <c r="P15" i="5"/>
  <c r="P16" i="5"/>
  <c r="P17" i="5"/>
  <c r="P18" i="5"/>
  <c r="P19" i="5"/>
  <c r="P20" i="5"/>
  <c r="P22" i="5"/>
  <c r="P23" i="5"/>
  <c r="P25" i="5"/>
  <c r="P26" i="5"/>
  <c r="P27" i="5"/>
  <c r="P28" i="5"/>
  <c r="P29" i="5"/>
  <c r="P30" i="5"/>
  <c r="P31" i="5"/>
  <c r="P32" i="5"/>
  <c r="P34" i="5"/>
  <c r="P35" i="5"/>
  <c r="P36" i="5"/>
  <c r="P37" i="5"/>
  <c r="P38" i="5"/>
  <c r="P41" i="5"/>
  <c r="P42" i="5"/>
  <c r="P43" i="5"/>
  <c r="P44" i="5"/>
  <c r="P11" i="5"/>
  <c r="M24" i="5"/>
  <c r="P24" i="5" s="1"/>
  <c r="Q40" i="5"/>
  <c r="O40" i="5"/>
  <c r="P40" i="5" s="1"/>
  <c r="O39" i="5"/>
  <c r="P39" i="5" s="1"/>
  <c r="Q42" i="5"/>
  <c r="Q43" i="5"/>
  <c r="Q41" i="5"/>
  <c r="Q35" i="5"/>
  <c r="Q34" i="5"/>
  <c r="Q19" i="5"/>
  <c r="Q20" i="5"/>
  <c r="Q18" i="5"/>
  <c r="Q12" i="5"/>
  <c r="Q11" i="5"/>
  <c r="Q69" i="5"/>
  <c r="Q70" i="5"/>
  <c r="Q71" i="5"/>
  <c r="Q68" i="5"/>
  <c r="M76" i="5"/>
  <c r="P76" i="5" s="1"/>
  <c r="Q73" i="5"/>
  <c r="Q74" i="5"/>
  <c r="Q72" i="5"/>
  <c r="Q65" i="5"/>
  <c r="S21" i="5" l="1"/>
  <c r="S24" i="5"/>
  <c r="S76" i="5" l="1"/>
  <c r="S75" i="5"/>
  <c r="S74" i="5"/>
  <c r="S73" i="5"/>
  <c r="S72" i="5"/>
  <c r="S71" i="5"/>
  <c r="S70" i="5"/>
  <c r="S69" i="5"/>
  <c r="S68" i="5"/>
  <c r="S66" i="5"/>
  <c r="S65" i="5"/>
  <c r="S64" i="5"/>
  <c r="S63" i="5"/>
  <c r="S60" i="5"/>
  <c r="S59" i="5"/>
  <c r="S58" i="5"/>
  <c r="S57" i="5"/>
  <c r="S56" i="5"/>
  <c r="S55" i="5"/>
  <c r="S54" i="5"/>
  <c r="S53" i="5"/>
  <c r="S52" i="5"/>
  <c r="S51" i="5"/>
  <c r="S50" i="5"/>
  <c r="S49" i="5"/>
  <c r="S46" i="5"/>
  <c r="S44" i="5"/>
  <c r="S43" i="5"/>
  <c r="S42" i="5"/>
  <c r="S41" i="5"/>
  <c r="S40" i="5"/>
  <c r="S39" i="5"/>
  <c r="S38" i="5"/>
  <c r="S37" i="5"/>
  <c r="S36" i="5"/>
  <c r="S35" i="5"/>
  <c r="S34" i="5"/>
  <c r="S33" i="5"/>
  <c r="S32" i="5"/>
  <c r="S31" i="5"/>
  <c r="S30" i="5"/>
  <c r="S29" i="5"/>
  <c r="S28" i="5"/>
  <c r="S27" i="5"/>
  <c r="S26" i="5"/>
  <c r="S25" i="5"/>
  <c r="S23" i="5"/>
  <c r="S22" i="5"/>
  <c r="S20" i="5"/>
  <c r="S19" i="5"/>
  <c r="S18" i="5"/>
  <c r="S17" i="5"/>
  <c r="S16" i="5"/>
  <c r="S15" i="5"/>
  <c r="S14" i="5"/>
  <c r="S13" i="5"/>
  <c r="S12" i="5"/>
  <c r="S11" i="5"/>
  <c r="S77" i="5" s="1"/>
  <c r="T61" i="5" l="1"/>
  <c r="U61" i="5" s="1"/>
  <c r="T9" i="5"/>
  <c r="U9" i="5" l="1"/>
  <c r="U77" i="5" s="1"/>
  <c r="T77" i="5"/>
</calcChain>
</file>

<file path=xl/sharedStrings.xml><?xml version="1.0" encoding="utf-8"?>
<sst xmlns="http://schemas.openxmlformats.org/spreadsheetml/2006/main" count="158" uniqueCount="91">
  <si>
    <t>STT</t>
  </si>
  <si>
    <t>TDP Lỗ Xá</t>
  </si>
  <si>
    <t>HỌ VÀ TÊN</t>
  </si>
  <si>
    <t>SĐT</t>
  </si>
  <si>
    <t>ĐỊA CHỈ</t>
  </si>
  <si>
    <t>VỊ TRÍ THỬA ĐẤT</t>
  </si>
  <si>
    <t>TỔNG TIỀN CÂY CỐI, HOA MÀU</t>
  </si>
  <si>
    <t>ĐVT</t>
  </si>
  <si>
    <t>(14) = (15)/(12)</t>
  </si>
  <si>
    <t>Hoàng Văn Hiển - Đào Thị Ân</t>
  </si>
  <si>
    <t>I</t>
  </si>
  <si>
    <t>Sấu</t>
  </si>
  <si>
    <t>cây</t>
  </si>
  <si>
    <t>Vú sữa</t>
  </si>
  <si>
    <t>Mít</t>
  </si>
  <si>
    <t>Sưa</t>
  </si>
  <si>
    <t>Ổi</t>
  </si>
  <si>
    <t>Dong giềng
S=3,5*0,8+6*0,6</t>
  </si>
  <si>
    <t>m2</t>
  </si>
  <si>
    <t>Bưởi</t>
  </si>
  <si>
    <t>Đinh lăng</t>
  </si>
  <si>
    <t>Hồng xiêm</t>
  </si>
  <si>
    <t>Chuối (không quả)</t>
  </si>
  <si>
    <t>khóm</t>
  </si>
  <si>
    <t>Chuối (có quả)</t>
  </si>
  <si>
    <t>Nhãn</t>
  </si>
  <si>
    <t>Xoài</t>
  </si>
  <si>
    <t>Keo</t>
  </si>
  <si>
    <t>Ao cá
S=28*10=280 m2</t>
  </si>
  <si>
    <t>Cá rô phi (N= 600kg/0,8kg=750 con)</t>
  </si>
  <si>
    <t>II</t>
  </si>
  <si>
    <t>Tài sản xây dựng</t>
  </si>
  <si>
    <t>Lán tre mái fibroximang</t>
  </si>
  <si>
    <t>Mái lợp fibroximang
S=2,5*6,5</t>
  </si>
  <si>
    <t>fibroximang ốp quây xung quanh
S=1*3+1,5*1,7</t>
  </si>
  <si>
    <t>Lưới sắt mắt cáo
S=1,3*16,5</t>
  </si>
  <si>
    <t>Sân bê tông 
S=6,5*1,7+2*2,7</t>
  </si>
  <si>
    <t>Tường gạch chỉ 110
V=(1,2*4+0,3*2,7*2)*0,11</t>
  </si>
  <si>
    <t>m3</t>
  </si>
  <si>
    <t>Lưới B40
S=2,3*1*2</t>
  </si>
  <si>
    <t>Mái lợp fibroximang
S=6*3,3</t>
  </si>
  <si>
    <t>Vách gỗ ép
S=1,7*5*2</t>
  </si>
  <si>
    <t>Cột bê tông 
V=0,1*0,2*2,3*6</t>
  </si>
  <si>
    <t>Dầm bê tông
V=0,1*0,2*2,3*4</t>
  </si>
  <si>
    <t>Giếng khoan</t>
  </si>
  <si>
    <t>m</t>
  </si>
  <si>
    <t>Sàn gỗ cốt pha
S=6*2,6</t>
  </si>
  <si>
    <t>Nguyễn Đức Toàn 
 Nguyễn Thị Tuỳ</t>
  </si>
  <si>
    <t>Trên bờ (tập thể)
S=20*3=60 m2</t>
  </si>
  <si>
    <t>TỔNG</t>
  </si>
  <si>
    <t>Diện tích trồng: S=796.4-(280+16,45)=499,95 m2</t>
  </si>
  <si>
    <t>Chuối (không quả)
(vượt mật độ &gt;30%)</t>
  </si>
  <si>
    <t>Chuối (không quả)
Vượt mật độ ≤30%)</t>
  </si>
  <si>
    <t>Năm sử dụng đất trồng cây, năm xây dựng tài sản</t>
  </si>
  <si>
    <t>BỒI THƯỜNG, HỖ TRỢ TÀI SẢN, CÂY CỐI, HOA MÀU, VẬT NUÔI</t>
  </si>
  <si>
    <t>Số tờ</t>
  </si>
  <si>
    <t>Số thửa</t>
  </si>
  <si>
    <t>Diện tích thu hồi (m²)</t>
  </si>
  <si>
    <t>Loại cây/Tài sản</t>
  </si>
  <si>
    <t>Đường kính gốc (cm)</t>
  </si>
  <si>
    <t>Số lượng</t>
  </si>
  <si>
    <t>Đơn giá (đồng)</t>
  </si>
  <si>
    <t>Mật độ
(m2/cây)/(con/m2)</t>
  </si>
  <si>
    <t>Diện tích đất (m²)</t>
  </si>
  <si>
    <t>Hệ số tính</t>
  </si>
  <si>
    <t>Hệ số vùng</t>
  </si>
  <si>
    <t>Thành tiền (đồng)</t>
  </si>
  <si>
    <t>(18) = (12)*(13)*(16)</t>
  </si>
  <si>
    <t>Làm tròn</t>
  </si>
  <si>
    <t>(15)</t>
  </si>
  <si>
    <t>(16)</t>
  </si>
  <si>
    <t>(17)</t>
  </si>
  <si>
    <t>(19)</t>
  </si>
  <si>
    <t>(20)</t>
  </si>
  <si>
    <t>(1)</t>
  </si>
  <si>
    <t>(2)</t>
  </si>
  <si>
    <t>(3)</t>
  </si>
  <si>
    <t>(4)</t>
  </si>
  <si>
    <t>(5)</t>
  </si>
  <si>
    <t>(6)</t>
  </si>
  <si>
    <t>(7)</t>
  </si>
  <si>
    <t>(8)</t>
  </si>
  <si>
    <t>(9)</t>
  </si>
  <si>
    <t>(10)</t>
  </si>
  <si>
    <t>(11)</t>
  </si>
  <si>
    <t>(12)</t>
  </si>
  <si>
    <t>(13)</t>
  </si>
  <si>
    <t>PHỤ LỤC CHI TIẾT</t>
  </si>
  <si>
    <t>Diện tích ruộng trồng cây
S=40,2*12=482,4 m2</t>
  </si>
  <si>
    <t xml:space="preserve">PHƯƠNG ÁN BỒI THƯỜNG, HỖ TRỢ  TÀI SẢN TRÊN ĐẤT KHI NHÀ NƯỚC THU HỒI ĐẤT ĐỂ THỰC HIỆN DỰ ÁN KHU ĐÔ THỊ MỚI SEN HỒ TẠI PHƯỜNG MỸ HÀO, TỈNH HƯNG YÊN </t>
  </si>
  <si>
    <t>(Kèm theo Tờ trình số:      /TTr-BQLDA ngày        /10/2026 của Ban Quản lý dự án đầu tư xây dựng phường Mỹ Hào)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</si>
</sst>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font>
      <sz val="11"/>
      <color theme="1"/>
      <name val="Aptos Narrow"/>
      <family val="2"/>
      <scheme val="minor"/>
    </font>
    <font>
      <sz val="13"/>
      <color theme="1"/>
      <name val="Times New Roman"/>
      <family val="1"/>
    </font>
    <font>
      <sz val="11"/>
      <color indexed="8"/>
      <name val="Calibri"/>
      <family val="2"/>
    </font>
    <font>
      <b/>
      <sz val="13"/>
      <color theme="1"/>
      <name val="Times New Roman"/>
      <family val="1"/>
    </font>
    <font>
      <b/>
      <i/>
      <sz val="13"/>
      <color theme="1"/>
      <name val="Times New Roman"/>
      <family val="1"/>
    </font>
    <font>
      <sz val="11"/>
      <color theme="1"/>
      <name val="Times New Roman"/>
      <family val="1"/>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2" fillId="0" borderId="0"/>
  </cellStyleXfs>
  <cellXfs count="60">
    <xf numFmtId="0" fontId="0" fillId="0" borderId="0" xfId="0"/>
    <xf numFmtId="0" fontId="1" fillId="0" borderId="0" xfId="0" applyFont="1"/>
    <xf numFmtId="3" fontId="3" fillId="0" borderId="1" xfId="0" applyNumberFormat="1" applyFont="1" applyBorder="1"/>
    <xf numFmtId="0" fontId="3" fillId="0" borderId="0" xfId="0" applyFont="1"/>
    <xf numFmtId="0" fontId="1" fillId="3" borderId="0" xfId="0" applyFont="1" applyFill="1"/>
    <xf numFmtId="0" fontId="1" fillId="0" borderId="0" xfId="0" applyFont="1" applyAlignment="1">
      <alignment horizontal="center"/>
    </xf>
    <xf numFmtId="3" fontId="3" fillId="0" borderId="2" xfId="0" applyNumberFormat="1" applyFont="1" applyBorder="1" applyAlignment="1"/>
    <xf numFmtId="49" fontId="5" fillId="3" borderId="1" xfId="0" applyNumberFormat="1" applyFont="1" applyFill="1" applyBorder="1" applyAlignment="1">
      <alignment vertical="center" wrapText="1"/>
    </xf>
    <xf numFmtId="0" fontId="5" fillId="0" borderId="0" xfId="0" applyFont="1"/>
    <xf numFmtId="49" fontId="6"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Border="1" applyAlignment="1">
      <alignment vertical="center" wrapText="1"/>
    </xf>
    <xf numFmtId="0" fontId="1" fillId="3" borderId="6" xfId="0" applyFont="1" applyFill="1" applyBorder="1" applyAlignment="1">
      <alignment vertical="center"/>
    </xf>
    <xf numFmtId="0" fontId="1" fillId="0" borderId="6" xfId="0" applyFont="1" applyBorder="1" applyAlignment="1">
      <alignment vertical="center"/>
    </xf>
    <xf numFmtId="0" fontId="1" fillId="0" borderId="6" xfId="0" applyFont="1" applyBorder="1" applyAlignment="1">
      <alignment horizontal="center" vertical="center" wrapText="1"/>
    </xf>
    <xf numFmtId="0" fontId="1" fillId="0" borderId="6" xfId="0" applyFont="1" applyBorder="1" applyAlignment="1">
      <alignment wrapText="1"/>
    </xf>
    <xf numFmtId="3" fontId="3" fillId="0" borderId="6" xfId="0" applyNumberFormat="1" applyFont="1" applyBorder="1" applyAlignment="1">
      <alignment horizontal="right" vertical="center" wrapText="1"/>
    </xf>
    <xf numFmtId="3" fontId="3" fillId="0" borderId="6" xfId="0" applyNumberFormat="1" applyFont="1" applyBorder="1" applyAlignment="1">
      <alignment horizontal="center" vertical="center" wrapText="1"/>
    </xf>
    <xf numFmtId="0" fontId="3" fillId="0" borderId="7" xfId="0" applyFont="1" applyBorder="1" applyAlignment="1">
      <alignment vertical="center" wrapText="1"/>
    </xf>
    <xf numFmtId="0" fontId="1" fillId="0" borderId="7" xfId="0" applyFont="1" applyBorder="1" applyAlignment="1">
      <alignment vertical="center" wrapText="1"/>
    </xf>
    <xf numFmtId="0" fontId="1" fillId="3" borderId="7" xfId="0" applyFont="1" applyFill="1" applyBorder="1" applyAlignment="1">
      <alignment vertical="center" wrapText="1"/>
    </xf>
    <xf numFmtId="0" fontId="1" fillId="0" borderId="7" xfId="0" applyFont="1" applyBorder="1" applyAlignment="1">
      <alignment horizontal="center" vertical="center" wrapText="1"/>
    </xf>
    <xf numFmtId="3" fontId="1" fillId="0" borderId="7" xfId="0" applyNumberFormat="1" applyFont="1" applyBorder="1" applyAlignment="1">
      <alignment horizontal="right" vertical="center" wrapText="1"/>
    </xf>
    <xf numFmtId="164" fontId="1" fillId="0" borderId="7" xfId="0" applyNumberFormat="1" applyFont="1" applyBorder="1" applyAlignment="1">
      <alignment horizontal="right" vertical="center" wrapText="1"/>
    </xf>
    <xf numFmtId="164" fontId="1" fillId="2" borderId="7" xfId="0" applyNumberFormat="1" applyFont="1" applyFill="1" applyBorder="1" applyAlignment="1">
      <alignment horizontal="right" vertical="center" wrapText="1"/>
    </xf>
    <xf numFmtId="9" fontId="1" fillId="2" borderId="7" xfId="0" applyNumberFormat="1" applyFont="1" applyFill="1" applyBorder="1" applyAlignment="1">
      <alignment horizontal="center" vertical="center" wrapText="1"/>
    </xf>
    <xf numFmtId="0" fontId="1" fillId="2" borderId="7" xfId="0" applyFont="1" applyFill="1" applyBorder="1" applyAlignment="1">
      <alignment vertical="center" wrapText="1"/>
    </xf>
    <xf numFmtId="0" fontId="1" fillId="0" borderId="7" xfId="0" applyFont="1" applyBorder="1" applyAlignment="1">
      <alignment horizontal="right" vertical="center" wrapText="1"/>
    </xf>
    <xf numFmtId="0" fontId="1" fillId="2" borderId="7" xfId="0" applyFont="1" applyFill="1" applyBorder="1" applyAlignment="1">
      <alignment horizontal="right" vertical="center" wrapText="1"/>
    </xf>
    <xf numFmtId="9" fontId="1" fillId="0" borderId="7" xfId="0" applyNumberFormat="1" applyFont="1" applyBorder="1" applyAlignment="1">
      <alignment horizontal="center" vertical="center" wrapText="1"/>
    </xf>
    <xf numFmtId="0" fontId="3" fillId="0" borderId="8" xfId="0" applyFont="1" applyBorder="1" applyAlignment="1">
      <alignment vertical="center" wrapText="1"/>
    </xf>
    <xf numFmtId="0" fontId="1" fillId="0" borderId="8" xfId="0" applyFont="1" applyBorder="1" applyAlignment="1">
      <alignment vertical="center" wrapText="1"/>
    </xf>
    <xf numFmtId="0" fontId="1" fillId="3" borderId="8" xfId="0" applyFont="1" applyFill="1" applyBorder="1" applyAlignment="1">
      <alignment vertical="center" wrapText="1"/>
    </xf>
    <xf numFmtId="0" fontId="1" fillId="0" borderId="8" xfId="0" applyFont="1" applyBorder="1" applyAlignment="1">
      <alignment horizontal="center" vertical="center" wrapText="1"/>
    </xf>
    <xf numFmtId="3" fontId="1" fillId="0" borderId="8" xfId="0" applyNumberFormat="1" applyFont="1" applyBorder="1" applyAlignment="1">
      <alignment horizontal="right" vertical="center" wrapText="1"/>
    </xf>
    <xf numFmtId="9" fontId="1" fillId="0" borderId="8" xfId="0" applyNumberFormat="1" applyFont="1" applyBorder="1" applyAlignment="1">
      <alignment horizontal="center" vertical="center" wrapText="1"/>
    </xf>
    <xf numFmtId="0" fontId="1" fillId="3" borderId="6" xfId="0" applyFont="1" applyFill="1" applyBorder="1" applyAlignment="1">
      <alignment vertical="center" wrapText="1"/>
    </xf>
    <xf numFmtId="3" fontId="3" fillId="0" borderId="6" xfId="0" applyNumberFormat="1" applyFont="1" applyBorder="1" applyAlignment="1">
      <alignment vertical="center" wrapText="1"/>
    </xf>
    <xf numFmtId="0" fontId="3" fillId="0" borderId="7" xfId="0" applyFont="1" applyBorder="1" applyAlignment="1">
      <alignment horizontal="center" vertical="center" wrapText="1"/>
    </xf>
    <xf numFmtId="3" fontId="1" fillId="0" borderId="7" xfId="0" applyNumberFormat="1" applyFont="1" applyBorder="1" applyAlignment="1">
      <alignment vertical="center" wrapText="1"/>
    </xf>
    <xf numFmtId="0" fontId="1" fillId="0" borderId="8" xfId="0" applyFont="1" applyBorder="1" applyAlignment="1">
      <alignment horizontal="right" vertical="center" wrapText="1"/>
    </xf>
    <xf numFmtId="3" fontId="1" fillId="0" borderId="0" xfId="0" applyNumberFormat="1" applyFont="1"/>
    <xf numFmtId="0" fontId="1" fillId="0" borderId="7" xfId="0" applyFont="1" applyFill="1" applyBorder="1" applyAlignment="1">
      <alignment horizontal="right" vertical="center" wrapText="1"/>
    </xf>
    <xf numFmtId="9" fontId="1" fillId="0" borderId="7" xfId="0" applyNumberFormat="1" applyFont="1" applyFill="1" applyBorder="1" applyAlignment="1">
      <alignment horizontal="center" vertical="center" wrapText="1"/>
    </xf>
    <xf numFmtId="164" fontId="1" fillId="0" borderId="7" xfId="0" applyNumberFormat="1" applyFont="1" applyFill="1" applyBorder="1" applyAlignment="1">
      <alignment horizontal="right" vertical="center" wrapText="1"/>
    </xf>
    <xf numFmtId="0" fontId="3" fillId="0" borderId="7" xfId="0" applyFont="1" applyFill="1" applyBorder="1" applyAlignment="1">
      <alignment vertical="center" wrapText="1"/>
    </xf>
    <xf numFmtId="0" fontId="1" fillId="0" borderId="7" xfId="0" applyFont="1" applyFill="1" applyBorder="1" applyAlignment="1">
      <alignment vertical="center" wrapText="1"/>
    </xf>
    <xf numFmtId="0" fontId="1" fillId="0" borderId="7" xfId="0" applyFont="1" applyFill="1" applyBorder="1" applyAlignment="1">
      <alignment horizontal="center" vertical="center" wrapText="1"/>
    </xf>
    <xf numFmtId="3" fontId="1" fillId="0" borderId="7" xfId="0" applyNumberFormat="1" applyFont="1" applyFill="1" applyBorder="1" applyAlignment="1">
      <alignment horizontal="right" vertical="center" wrapText="1"/>
    </xf>
    <xf numFmtId="0" fontId="1" fillId="0" borderId="0" xfId="0" applyFont="1" applyFill="1"/>
    <xf numFmtId="0" fontId="1" fillId="0" borderId="7" xfId="0" applyFont="1" applyFill="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3" fillId="3" borderId="1" xfId="0" applyFont="1" applyFill="1" applyBorder="1" applyAlignment="1">
      <alignment horizontal="center" vertical="center" wrapText="1"/>
    </xf>
    <xf numFmtId="0" fontId="1" fillId="0" borderId="6" xfId="0" applyFont="1" applyFill="1" applyBorder="1" applyAlignment="1">
      <alignmen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9"/>
  <sheetViews>
    <sheetView tabSelected="1" topLeftCell="A4" zoomScale="85" zoomScaleNormal="85" workbookViewId="0">
      <pane ySplit="4" topLeftCell="A8" activePane="bottomLeft" state="frozen"/>
      <selection activeCell="A4" sqref="A4"/>
      <selection pane="bottomLeft" activeCell="N26" sqref="N26"/>
    </sheetView>
  </sheetViews>
  <sheetFormatPr defaultColWidth="8.875" defaultRowHeight="16.5"/>
  <cols>
    <col min="1" max="1" width="5.5" style="3" customWidth="1"/>
    <col min="2" max="2" width="19.25" style="1" customWidth="1"/>
    <col min="3" max="3" width="0" style="4" hidden="1" customWidth="1"/>
    <col min="4" max="4" width="12.375" style="1" bestFit="1" customWidth="1"/>
    <col min="5" max="7" width="8.875" style="1"/>
    <col min="8" max="8" width="13.25" style="1" customWidth="1"/>
    <col min="9" max="9" width="9.25" style="1" bestFit="1" customWidth="1"/>
    <col min="10" max="10" width="25.125" style="1" customWidth="1"/>
    <col min="11" max="11" width="9.25" style="1" bestFit="1" customWidth="1"/>
    <col min="12" max="12" width="10.125" style="1" customWidth="1"/>
    <col min="13" max="13" width="10" style="5" customWidth="1"/>
    <col min="14" max="14" width="11.5" style="1" bestFit="1" customWidth="1"/>
    <col min="15" max="15" width="8.625" style="1" customWidth="1"/>
    <col min="16" max="17" width="8.25" style="1" customWidth="1"/>
    <col min="18" max="18" width="9.25" style="1" customWidth="1"/>
    <col min="19" max="19" width="13.875" style="1" customWidth="1"/>
    <col min="20" max="20" width="13.125" style="1" customWidth="1"/>
    <col min="21" max="21" width="12.125" style="1" bestFit="1" customWidth="1"/>
    <col min="22" max="16384" width="8.875" style="1"/>
  </cols>
  <sheetData>
    <row r="1" spans="1:21">
      <c r="A1" s="57" t="s">
        <v>87</v>
      </c>
      <c r="B1" s="57"/>
      <c r="C1" s="57"/>
      <c r="D1" s="57"/>
      <c r="E1" s="57"/>
      <c r="F1" s="57"/>
      <c r="G1" s="57"/>
      <c r="H1" s="57"/>
      <c r="I1" s="57"/>
      <c r="J1" s="57"/>
      <c r="K1" s="57"/>
      <c r="L1" s="57"/>
      <c r="M1" s="57"/>
      <c r="N1" s="57"/>
      <c r="O1" s="57"/>
      <c r="P1" s="57"/>
      <c r="Q1" s="57"/>
      <c r="R1" s="57"/>
      <c r="S1" s="57"/>
      <c r="T1" s="57"/>
      <c r="U1" s="57"/>
    </row>
    <row r="2" spans="1:21" ht="18.75" customHeight="1">
      <c r="A2" s="57" t="s">
        <v>89</v>
      </c>
      <c r="B2" s="57"/>
      <c r="C2" s="57"/>
      <c r="D2" s="57"/>
      <c r="E2" s="57"/>
      <c r="F2" s="57"/>
      <c r="G2" s="57"/>
      <c r="H2" s="57"/>
      <c r="I2" s="57"/>
      <c r="J2" s="57"/>
      <c r="K2" s="57"/>
      <c r="L2" s="57"/>
      <c r="M2" s="57"/>
      <c r="N2" s="57"/>
      <c r="O2" s="57"/>
      <c r="P2" s="57"/>
      <c r="Q2" s="57"/>
      <c r="R2" s="57"/>
      <c r="S2" s="57"/>
      <c r="T2" s="57"/>
      <c r="U2" s="57"/>
    </row>
    <row r="3" spans="1:21" ht="17.25">
      <c r="A3" s="56" t="s">
        <v>90</v>
      </c>
      <c r="B3" s="56"/>
      <c r="C3" s="56"/>
      <c r="D3" s="56"/>
      <c r="E3" s="56"/>
      <c r="F3" s="56"/>
      <c r="G3" s="56"/>
      <c r="H3" s="56"/>
      <c r="I3" s="56"/>
      <c r="J3" s="56"/>
      <c r="K3" s="56"/>
      <c r="L3" s="56"/>
      <c r="M3" s="56"/>
      <c r="N3" s="56"/>
      <c r="O3" s="56"/>
      <c r="P3" s="56"/>
      <c r="Q3" s="56"/>
      <c r="R3" s="56"/>
      <c r="S3" s="56"/>
      <c r="T3" s="56"/>
      <c r="U3" s="56"/>
    </row>
    <row r="5" spans="1:21">
      <c r="A5" s="51" t="s">
        <v>0</v>
      </c>
      <c r="B5" s="51" t="s">
        <v>2</v>
      </c>
      <c r="C5" s="58" t="s">
        <v>3</v>
      </c>
      <c r="D5" s="51" t="s">
        <v>4</v>
      </c>
      <c r="E5" s="51" t="s">
        <v>5</v>
      </c>
      <c r="F5" s="51"/>
      <c r="G5" s="51"/>
      <c r="H5" s="53" t="s">
        <v>53</v>
      </c>
      <c r="I5" s="51" t="s">
        <v>54</v>
      </c>
      <c r="J5" s="51"/>
      <c r="K5" s="51"/>
      <c r="L5" s="51"/>
      <c r="M5" s="51"/>
      <c r="N5" s="51"/>
      <c r="O5" s="51"/>
      <c r="P5" s="51"/>
      <c r="Q5" s="51"/>
      <c r="R5" s="51"/>
      <c r="S5" s="51"/>
      <c r="T5" s="51" t="s">
        <v>6</v>
      </c>
      <c r="U5" s="51" t="s">
        <v>68</v>
      </c>
    </row>
    <row r="6" spans="1:21" ht="16.5" customHeight="1">
      <c r="A6" s="51"/>
      <c r="B6" s="51"/>
      <c r="C6" s="58"/>
      <c r="D6" s="51"/>
      <c r="E6" s="51" t="s">
        <v>56</v>
      </c>
      <c r="F6" s="51" t="s">
        <v>55</v>
      </c>
      <c r="G6" s="51" t="s">
        <v>57</v>
      </c>
      <c r="H6" s="54"/>
      <c r="I6" s="51" t="s">
        <v>0</v>
      </c>
      <c r="J6" s="51" t="s">
        <v>58</v>
      </c>
      <c r="K6" s="51" t="s">
        <v>7</v>
      </c>
      <c r="L6" s="51" t="s">
        <v>59</v>
      </c>
      <c r="M6" s="51" t="s">
        <v>60</v>
      </c>
      <c r="N6" s="51" t="s">
        <v>61</v>
      </c>
      <c r="O6" s="51" t="s">
        <v>62</v>
      </c>
      <c r="P6" s="51" t="s">
        <v>63</v>
      </c>
      <c r="Q6" s="51" t="s">
        <v>64</v>
      </c>
      <c r="R6" s="51" t="s">
        <v>65</v>
      </c>
      <c r="S6" s="51" t="s">
        <v>66</v>
      </c>
      <c r="T6" s="51"/>
      <c r="U6" s="51"/>
    </row>
    <row r="7" spans="1:21" ht="75" customHeight="1">
      <c r="A7" s="51"/>
      <c r="B7" s="51"/>
      <c r="C7" s="58"/>
      <c r="D7" s="51"/>
      <c r="E7" s="51"/>
      <c r="F7" s="51"/>
      <c r="G7" s="51"/>
      <c r="H7" s="55"/>
      <c r="I7" s="51"/>
      <c r="J7" s="51"/>
      <c r="K7" s="51"/>
      <c r="L7" s="51"/>
      <c r="M7" s="51"/>
      <c r="N7" s="51"/>
      <c r="O7" s="51"/>
      <c r="P7" s="51"/>
      <c r="Q7" s="51"/>
      <c r="R7" s="51"/>
      <c r="S7" s="51"/>
      <c r="T7" s="51"/>
      <c r="U7" s="51"/>
    </row>
    <row r="8" spans="1:21" s="8" customFormat="1" ht="34.5" customHeight="1">
      <c r="A8" s="9" t="s">
        <v>74</v>
      </c>
      <c r="B8" s="9" t="s">
        <v>75</v>
      </c>
      <c r="C8" s="7"/>
      <c r="D8" s="9" t="s">
        <v>76</v>
      </c>
      <c r="E8" s="9" t="s">
        <v>77</v>
      </c>
      <c r="F8" s="9" t="s">
        <v>78</v>
      </c>
      <c r="G8" s="9" t="s">
        <v>79</v>
      </c>
      <c r="H8" s="9" t="s">
        <v>80</v>
      </c>
      <c r="I8" s="9" t="s">
        <v>81</v>
      </c>
      <c r="J8" s="9" t="s">
        <v>82</v>
      </c>
      <c r="K8" s="9" t="s">
        <v>83</v>
      </c>
      <c r="L8" s="9" t="s">
        <v>84</v>
      </c>
      <c r="M8" s="9" t="s">
        <v>85</v>
      </c>
      <c r="N8" s="9" t="s">
        <v>86</v>
      </c>
      <c r="O8" s="9" t="s">
        <v>8</v>
      </c>
      <c r="P8" s="9" t="s">
        <v>69</v>
      </c>
      <c r="Q8" s="9" t="s">
        <v>70</v>
      </c>
      <c r="R8" s="9" t="s">
        <v>71</v>
      </c>
      <c r="S8" s="9" t="s">
        <v>67</v>
      </c>
      <c r="T8" s="9" t="s">
        <v>72</v>
      </c>
      <c r="U8" s="9" t="s">
        <v>73</v>
      </c>
    </row>
    <row r="9" spans="1:21" ht="33">
      <c r="A9" s="10">
        <v>1</v>
      </c>
      <c r="B9" s="11" t="s">
        <v>9</v>
      </c>
      <c r="C9" s="12"/>
      <c r="D9" s="13" t="s">
        <v>1</v>
      </c>
      <c r="E9" s="59">
        <v>1116</v>
      </c>
      <c r="F9" s="11">
        <v>60</v>
      </c>
      <c r="G9" s="11">
        <v>796.4</v>
      </c>
      <c r="H9" s="14">
        <v>2009</v>
      </c>
      <c r="I9" s="15"/>
      <c r="J9" s="15"/>
      <c r="K9" s="11"/>
      <c r="L9" s="11"/>
      <c r="M9" s="14"/>
      <c r="N9" s="11"/>
      <c r="O9" s="11"/>
      <c r="P9" s="11"/>
      <c r="Q9" s="11"/>
      <c r="R9" s="11"/>
      <c r="S9" s="15"/>
      <c r="T9" s="16">
        <f>SUM(S10:S60)</f>
        <v>52623777.164861694</v>
      </c>
      <c r="U9" s="17">
        <f>ROUND(T9,-3)</f>
        <v>52624000</v>
      </c>
    </row>
    <row r="10" spans="1:21" ht="45" customHeight="1">
      <c r="A10" s="18"/>
      <c r="B10" s="19"/>
      <c r="C10" s="20"/>
      <c r="D10" s="19"/>
      <c r="E10" s="19"/>
      <c r="F10" s="19"/>
      <c r="G10" s="19"/>
      <c r="H10" s="19"/>
      <c r="I10" s="21" t="s">
        <v>10</v>
      </c>
      <c r="J10" s="19" t="s">
        <v>50</v>
      </c>
      <c r="K10" s="19"/>
      <c r="L10" s="19"/>
      <c r="M10" s="21"/>
      <c r="N10" s="19"/>
      <c r="O10" s="19"/>
      <c r="P10" s="19"/>
      <c r="Q10" s="19"/>
      <c r="R10" s="19"/>
      <c r="S10" s="19"/>
      <c r="T10" s="19"/>
      <c r="U10" s="19"/>
    </row>
    <row r="11" spans="1:21">
      <c r="A11" s="18"/>
      <c r="B11" s="19"/>
      <c r="C11" s="20"/>
      <c r="D11" s="19"/>
      <c r="E11" s="19"/>
      <c r="F11" s="19"/>
      <c r="G11" s="19"/>
      <c r="H11" s="19"/>
      <c r="I11" s="21">
        <v>1</v>
      </c>
      <c r="J11" s="19" t="s">
        <v>11</v>
      </c>
      <c r="K11" s="21" t="s">
        <v>12</v>
      </c>
      <c r="L11" s="21">
        <v>60</v>
      </c>
      <c r="M11" s="21">
        <v>1</v>
      </c>
      <c r="N11" s="22">
        <v>1236000</v>
      </c>
      <c r="O11" s="23">
        <f>10000/1500</f>
        <v>6.666666666666667</v>
      </c>
      <c r="P11" s="44">
        <f>O11*M11</f>
        <v>6.666666666666667</v>
      </c>
      <c r="Q11" s="25">
        <f>80%*50%</f>
        <v>0.4</v>
      </c>
      <c r="R11" s="26"/>
      <c r="S11" s="22">
        <f>+M11*N11*Q11</f>
        <v>494400</v>
      </c>
      <c r="T11" s="19"/>
      <c r="U11" s="19"/>
    </row>
    <row r="12" spans="1:21">
      <c r="A12" s="18"/>
      <c r="B12" s="19"/>
      <c r="C12" s="20"/>
      <c r="D12" s="19"/>
      <c r="E12" s="19"/>
      <c r="F12" s="19"/>
      <c r="G12" s="19"/>
      <c r="H12" s="19"/>
      <c r="I12" s="21">
        <v>2</v>
      </c>
      <c r="J12" s="19" t="s">
        <v>13</v>
      </c>
      <c r="K12" s="21" t="s">
        <v>12</v>
      </c>
      <c r="L12" s="21">
        <v>25</v>
      </c>
      <c r="M12" s="21">
        <v>1</v>
      </c>
      <c r="N12" s="22">
        <v>1400000</v>
      </c>
      <c r="O12" s="23">
        <f>10000/150</f>
        <v>66.666666666666671</v>
      </c>
      <c r="P12" s="44">
        <f t="shared" ref="P12:P44" si="0">O12*M12</f>
        <v>66.666666666666671</v>
      </c>
      <c r="Q12" s="25">
        <f>80%*50%</f>
        <v>0.4</v>
      </c>
      <c r="R12" s="26"/>
      <c r="S12" s="22">
        <f t="shared" ref="S12:S46" si="1">+M12*N12*Q12</f>
        <v>560000</v>
      </c>
      <c r="T12" s="19"/>
      <c r="U12" s="19"/>
    </row>
    <row r="13" spans="1:21" s="49" customFormat="1">
      <c r="A13" s="45"/>
      <c r="B13" s="46"/>
      <c r="C13" s="46"/>
      <c r="D13" s="46"/>
      <c r="E13" s="46"/>
      <c r="F13" s="46"/>
      <c r="G13" s="46"/>
      <c r="H13" s="46"/>
      <c r="I13" s="47">
        <v>3</v>
      </c>
      <c r="J13" s="46" t="s">
        <v>14</v>
      </c>
      <c r="K13" s="47" t="s">
        <v>12</v>
      </c>
      <c r="L13" s="47">
        <v>30</v>
      </c>
      <c r="M13" s="47">
        <v>2</v>
      </c>
      <c r="N13" s="48">
        <v>2000000</v>
      </c>
      <c r="O13" s="42">
        <f>10000/400</f>
        <v>25</v>
      </c>
      <c r="P13" s="42">
        <f t="shared" si="0"/>
        <v>50</v>
      </c>
      <c r="Q13" s="43">
        <v>0.8</v>
      </c>
      <c r="R13" s="46"/>
      <c r="S13" s="48">
        <f t="shared" si="1"/>
        <v>3200000</v>
      </c>
      <c r="T13" s="46"/>
      <c r="U13" s="46"/>
    </row>
    <row r="14" spans="1:21" s="49" customFormat="1">
      <c r="A14" s="45"/>
      <c r="B14" s="46"/>
      <c r="C14" s="46"/>
      <c r="D14" s="46"/>
      <c r="E14" s="46"/>
      <c r="F14" s="46"/>
      <c r="G14" s="46"/>
      <c r="H14" s="46"/>
      <c r="I14" s="46"/>
      <c r="J14" s="46"/>
      <c r="K14" s="47" t="s">
        <v>12</v>
      </c>
      <c r="L14" s="47">
        <v>25</v>
      </c>
      <c r="M14" s="47">
        <v>3</v>
      </c>
      <c r="N14" s="48">
        <v>1500000</v>
      </c>
      <c r="O14" s="42">
        <f t="shared" ref="O14:O17" si="2">10000/400</f>
        <v>25</v>
      </c>
      <c r="P14" s="42">
        <f t="shared" si="0"/>
        <v>75</v>
      </c>
      <c r="Q14" s="43">
        <v>0.8</v>
      </c>
      <c r="R14" s="46"/>
      <c r="S14" s="48">
        <f t="shared" si="1"/>
        <v>3600000</v>
      </c>
      <c r="T14" s="46"/>
      <c r="U14" s="46"/>
    </row>
    <row r="15" spans="1:21" s="49" customFormat="1">
      <c r="A15" s="45"/>
      <c r="B15" s="46"/>
      <c r="C15" s="46"/>
      <c r="D15" s="46"/>
      <c r="E15" s="46"/>
      <c r="F15" s="46"/>
      <c r="G15" s="46"/>
      <c r="H15" s="46"/>
      <c r="I15" s="46"/>
      <c r="J15" s="46"/>
      <c r="K15" s="47" t="s">
        <v>12</v>
      </c>
      <c r="L15" s="47">
        <v>20</v>
      </c>
      <c r="M15" s="47">
        <v>2</v>
      </c>
      <c r="N15" s="48">
        <v>1500000</v>
      </c>
      <c r="O15" s="42">
        <f t="shared" si="2"/>
        <v>25</v>
      </c>
      <c r="P15" s="42">
        <f t="shared" si="0"/>
        <v>50</v>
      </c>
      <c r="Q15" s="43">
        <v>0.8</v>
      </c>
      <c r="R15" s="46"/>
      <c r="S15" s="48">
        <f t="shared" si="1"/>
        <v>2400000</v>
      </c>
      <c r="T15" s="46"/>
      <c r="U15" s="46"/>
    </row>
    <row r="16" spans="1:21" s="49" customFormat="1">
      <c r="A16" s="45"/>
      <c r="B16" s="46"/>
      <c r="C16" s="46"/>
      <c r="D16" s="46"/>
      <c r="E16" s="46"/>
      <c r="F16" s="46"/>
      <c r="G16" s="46"/>
      <c r="H16" s="46"/>
      <c r="I16" s="46"/>
      <c r="J16" s="46"/>
      <c r="K16" s="47" t="s">
        <v>12</v>
      </c>
      <c r="L16" s="47">
        <v>18</v>
      </c>
      <c r="M16" s="47">
        <v>1</v>
      </c>
      <c r="N16" s="48">
        <v>1500000</v>
      </c>
      <c r="O16" s="42">
        <f t="shared" si="2"/>
        <v>25</v>
      </c>
      <c r="P16" s="42">
        <f t="shared" si="0"/>
        <v>25</v>
      </c>
      <c r="Q16" s="43">
        <v>0.8</v>
      </c>
      <c r="R16" s="46"/>
      <c r="S16" s="48">
        <f t="shared" si="1"/>
        <v>1200000</v>
      </c>
      <c r="T16" s="46"/>
      <c r="U16" s="46"/>
    </row>
    <row r="17" spans="1:21" s="49" customFormat="1">
      <c r="A17" s="45"/>
      <c r="B17" s="46"/>
      <c r="C17" s="46"/>
      <c r="D17" s="46"/>
      <c r="E17" s="46"/>
      <c r="F17" s="46"/>
      <c r="G17" s="46"/>
      <c r="H17" s="46"/>
      <c r="I17" s="46"/>
      <c r="J17" s="46"/>
      <c r="K17" s="47" t="s">
        <v>12</v>
      </c>
      <c r="L17" s="47">
        <v>15</v>
      </c>
      <c r="M17" s="47">
        <v>3</v>
      </c>
      <c r="N17" s="48">
        <v>1000000</v>
      </c>
      <c r="O17" s="42">
        <f t="shared" si="2"/>
        <v>25</v>
      </c>
      <c r="P17" s="42">
        <f t="shared" si="0"/>
        <v>75</v>
      </c>
      <c r="Q17" s="43">
        <v>0.8</v>
      </c>
      <c r="R17" s="46"/>
      <c r="S17" s="48">
        <f t="shared" si="1"/>
        <v>2400000</v>
      </c>
      <c r="T17" s="46"/>
      <c r="U17" s="46"/>
    </row>
    <row r="18" spans="1:21" s="49" customFormat="1">
      <c r="A18" s="45"/>
      <c r="B18" s="46"/>
      <c r="C18" s="46"/>
      <c r="D18" s="46"/>
      <c r="E18" s="46"/>
      <c r="F18" s="46"/>
      <c r="G18" s="46"/>
      <c r="H18" s="46"/>
      <c r="I18" s="47">
        <v>4</v>
      </c>
      <c r="J18" s="46" t="s">
        <v>15</v>
      </c>
      <c r="K18" s="47" t="s">
        <v>12</v>
      </c>
      <c r="L18" s="47">
        <v>45</v>
      </c>
      <c r="M18" s="47">
        <v>1</v>
      </c>
      <c r="N18" s="48">
        <v>1195000</v>
      </c>
      <c r="O18" s="44">
        <f>10000/1500</f>
        <v>6.666666666666667</v>
      </c>
      <c r="P18" s="44">
        <f t="shared" si="0"/>
        <v>6.666666666666667</v>
      </c>
      <c r="Q18" s="43">
        <f>80%*50%</f>
        <v>0.4</v>
      </c>
      <c r="R18" s="46"/>
      <c r="S18" s="48">
        <f t="shared" si="1"/>
        <v>478000</v>
      </c>
      <c r="T18" s="46"/>
      <c r="U18" s="46"/>
    </row>
    <row r="19" spans="1:21" s="49" customFormat="1">
      <c r="A19" s="45"/>
      <c r="B19" s="46"/>
      <c r="C19" s="46"/>
      <c r="D19" s="46"/>
      <c r="E19" s="46"/>
      <c r="F19" s="46"/>
      <c r="G19" s="46"/>
      <c r="H19" s="46"/>
      <c r="I19" s="50"/>
      <c r="J19" s="50"/>
      <c r="K19" s="47" t="s">
        <v>12</v>
      </c>
      <c r="L19" s="47">
        <v>40</v>
      </c>
      <c r="M19" s="47">
        <v>1</v>
      </c>
      <c r="N19" s="48">
        <v>710000</v>
      </c>
      <c r="O19" s="44">
        <f t="shared" ref="O19:O27" si="3">10000/1500</f>
        <v>6.666666666666667</v>
      </c>
      <c r="P19" s="44">
        <f t="shared" si="0"/>
        <v>6.666666666666667</v>
      </c>
      <c r="Q19" s="43">
        <f t="shared" ref="Q19:Q35" si="4">80%*50%</f>
        <v>0.4</v>
      </c>
      <c r="R19" s="46"/>
      <c r="S19" s="48">
        <f t="shared" si="1"/>
        <v>284000</v>
      </c>
      <c r="T19" s="46"/>
      <c r="U19" s="46"/>
    </row>
    <row r="20" spans="1:21" s="49" customFormat="1">
      <c r="A20" s="45"/>
      <c r="B20" s="46"/>
      <c r="C20" s="46"/>
      <c r="D20" s="46"/>
      <c r="E20" s="46"/>
      <c r="F20" s="46"/>
      <c r="G20" s="46"/>
      <c r="H20" s="46"/>
      <c r="I20" s="46"/>
      <c r="J20" s="46"/>
      <c r="K20" s="47" t="s">
        <v>12</v>
      </c>
      <c r="L20" s="47">
        <v>30</v>
      </c>
      <c r="M20" s="47">
        <v>2</v>
      </c>
      <c r="N20" s="48">
        <v>710000</v>
      </c>
      <c r="O20" s="44">
        <f t="shared" si="3"/>
        <v>6.666666666666667</v>
      </c>
      <c r="P20" s="44">
        <f t="shared" si="0"/>
        <v>13.333333333333334</v>
      </c>
      <c r="Q20" s="43">
        <f t="shared" si="4"/>
        <v>0.4</v>
      </c>
      <c r="R20" s="46"/>
      <c r="S20" s="48">
        <f t="shared" si="1"/>
        <v>568000</v>
      </c>
      <c r="T20" s="46"/>
      <c r="U20" s="46"/>
    </row>
    <row r="21" spans="1:21">
      <c r="A21" s="18"/>
      <c r="B21" s="19"/>
      <c r="C21" s="20"/>
      <c r="D21" s="19"/>
      <c r="E21" s="19"/>
      <c r="F21" s="19"/>
      <c r="G21" s="19"/>
      <c r="H21" s="19"/>
      <c r="I21" s="19"/>
      <c r="J21" s="19"/>
      <c r="K21" s="21" t="s">
        <v>12</v>
      </c>
      <c r="L21" s="21">
        <v>30</v>
      </c>
      <c r="M21" s="21">
        <f>3-M20</f>
        <v>1</v>
      </c>
      <c r="N21" s="22">
        <v>710000</v>
      </c>
      <c r="O21" s="23">
        <f t="shared" si="3"/>
        <v>6.666666666666667</v>
      </c>
      <c r="P21" s="24">
        <f t="shared" ref="P21" si="5">O21*M21</f>
        <v>6.666666666666667</v>
      </c>
      <c r="Q21" s="25">
        <v>0</v>
      </c>
      <c r="R21" s="26"/>
      <c r="S21" s="22">
        <f t="shared" ref="S21" si="6">+M21*N21*Q21</f>
        <v>0</v>
      </c>
      <c r="T21" s="19"/>
      <c r="U21" s="19"/>
    </row>
    <row r="22" spans="1:21">
      <c r="A22" s="18"/>
      <c r="B22" s="19"/>
      <c r="C22" s="20"/>
      <c r="D22" s="19"/>
      <c r="E22" s="19"/>
      <c r="F22" s="19"/>
      <c r="G22" s="19"/>
      <c r="H22" s="19"/>
      <c r="I22" s="19"/>
      <c r="J22" s="19"/>
      <c r="K22" s="21" t="s">
        <v>12</v>
      </c>
      <c r="L22" s="21">
        <v>25</v>
      </c>
      <c r="M22" s="21">
        <v>3</v>
      </c>
      <c r="N22" s="22">
        <v>560000</v>
      </c>
      <c r="O22" s="23">
        <f t="shared" si="3"/>
        <v>6.666666666666667</v>
      </c>
      <c r="P22" s="24">
        <f t="shared" si="0"/>
        <v>20</v>
      </c>
      <c r="Q22" s="25">
        <v>0</v>
      </c>
      <c r="R22" s="26"/>
      <c r="S22" s="22">
        <f t="shared" si="1"/>
        <v>0</v>
      </c>
      <c r="T22" s="19"/>
      <c r="U22" s="19"/>
    </row>
    <row r="23" spans="1:21">
      <c r="A23" s="18"/>
      <c r="B23" s="19"/>
      <c r="C23" s="20"/>
      <c r="D23" s="19"/>
      <c r="E23" s="19"/>
      <c r="F23" s="19"/>
      <c r="G23" s="19"/>
      <c r="H23" s="19"/>
      <c r="I23" s="19"/>
      <c r="J23" s="19"/>
      <c r="K23" s="21" t="s">
        <v>12</v>
      </c>
      <c r="L23" s="21">
        <v>20</v>
      </c>
      <c r="M23" s="21">
        <v>1</v>
      </c>
      <c r="N23" s="22">
        <v>560000</v>
      </c>
      <c r="O23" s="23">
        <f t="shared" si="3"/>
        <v>6.666666666666667</v>
      </c>
      <c r="P23" s="24">
        <f t="shared" si="0"/>
        <v>6.666666666666667</v>
      </c>
      <c r="Q23" s="25">
        <v>0</v>
      </c>
      <c r="R23" s="26"/>
      <c r="S23" s="22">
        <f t="shared" si="1"/>
        <v>0</v>
      </c>
      <c r="T23" s="19"/>
      <c r="U23" s="19"/>
    </row>
    <row r="24" spans="1:21">
      <c r="A24" s="18"/>
      <c r="B24" s="19"/>
      <c r="C24" s="20"/>
      <c r="D24" s="19"/>
      <c r="E24" s="19"/>
      <c r="F24" s="19"/>
      <c r="G24" s="19"/>
      <c r="H24" s="19"/>
      <c r="I24" s="19"/>
      <c r="J24" s="19"/>
      <c r="K24" s="21" t="s">
        <v>12</v>
      </c>
      <c r="L24" s="21">
        <v>20</v>
      </c>
      <c r="M24" s="21">
        <f>2-M23</f>
        <v>1</v>
      </c>
      <c r="N24" s="22">
        <v>560000</v>
      </c>
      <c r="O24" s="23">
        <f t="shared" si="3"/>
        <v>6.666666666666667</v>
      </c>
      <c r="P24" s="24">
        <f t="shared" si="0"/>
        <v>6.666666666666667</v>
      </c>
      <c r="Q24" s="25">
        <v>0</v>
      </c>
      <c r="R24" s="26"/>
      <c r="S24" s="22">
        <f t="shared" ref="S24" si="7">+M24*N24*Q24</f>
        <v>0</v>
      </c>
      <c r="T24" s="19"/>
      <c r="U24" s="19"/>
    </row>
    <row r="25" spans="1:21">
      <c r="A25" s="18"/>
      <c r="B25" s="19"/>
      <c r="C25" s="20"/>
      <c r="D25" s="19"/>
      <c r="E25" s="19"/>
      <c r="F25" s="19"/>
      <c r="G25" s="19"/>
      <c r="H25" s="19"/>
      <c r="I25" s="19"/>
      <c r="J25" s="19"/>
      <c r="K25" s="21" t="s">
        <v>12</v>
      </c>
      <c r="L25" s="21">
        <v>18</v>
      </c>
      <c r="M25" s="21">
        <v>1</v>
      </c>
      <c r="N25" s="22">
        <v>560000</v>
      </c>
      <c r="O25" s="23">
        <f t="shared" si="3"/>
        <v>6.666666666666667</v>
      </c>
      <c r="P25" s="24">
        <f t="shared" si="0"/>
        <v>6.666666666666667</v>
      </c>
      <c r="Q25" s="25">
        <v>0</v>
      </c>
      <c r="R25" s="26"/>
      <c r="S25" s="22">
        <f t="shared" si="1"/>
        <v>0</v>
      </c>
      <c r="T25" s="19"/>
      <c r="U25" s="19"/>
    </row>
    <row r="26" spans="1:21">
      <c r="A26" s="18"/>
      <c r="B26" s="19"/>
      <c r="C26" s="20"/>
      <c r="D26" s="19"/>
      <c r="E26" s="19"/>
      <c r="F26" s="19"/>
      <c r="G26" s="19"/>
      <c r="H26" s="19"/>
      <c r="I26" s="19"/>
      <c r="J26" s="19"/>
      <c r="K26" s="21" t="s">
        <v>12</v>
      </c>
      <c r="L26" s="21">
        <v>15</v>
      </c>
      <c r="M26" s="21">
        <v>4</v>
      </c>
      <c r="N26" s="22">
        <v>400000</v>
      </c>
      <c r="O26" s="23">
        <f t="shared" si="3"/>
        <v>6.666666666666667</v>
      </c>
      <c r="P26" s="24">
        <f t="shared" si="0"/>
        <v>26.666666666666668</v>
      </c>
      <c r="Q26" s="25">
        <v>0</v>
      </c>
      <c r="R26" s="26"/>
      <c r="S26" s="22">
        <f t="shared" si="1"/>
        <v>0</v>
      </c>
      <c r="T26" s="19"/>
      <c r="U26" s="19"/>
    </row>
    <row r="27" spans="1:21">
      <c r="A27" s="18"/>
      <c r="B27" s="19"/>
      <c r="C27" s="20"/>
      <c r="D27" s="19"/>
      <c r="E27" s="19"/>
      <c r="F27" s="19"/>
      <c r="G27" s="19"/>
      <c r="H27" s="19"/>
      <c r="I27" s="19"/>
      <c r="J27" s="19"/>
      <c r="K27" s="21" t="s">
        <v>12</v>
      </c>
      <c r="L27" s="21">
        <v>2</v>
      </c>
      <c r="M27" s="21">
        <v>1</v>
      </c>
      <c r="N27" s="22">
        <v>35000</v>
      </c>
      <c r="O27" s="23">
        <f t="shared" si="3"/>
        <v>6.666666666666667</v>
      </c>
      <c r="P27" s="24">
        <f t="shared" si="0"/>
        <v>6.666666666666667</v>
      </c>
      <c r="Q27" s="25">
        <v>0</v>
      </c>
      <c r="R27" s="26"/>
      <c r="S27" s="22">
        <f t="shared" si="1"/>
        <v>0</v>
      </c>
      <c r="T27" s="19"/>
      <c r="U27" s="19"/>
    </row>
    <row r="28" spans="1:21">
      <c r="A28" s="18"/>
      <c r="B28" s="19"/>
      <c r="C28" s="20"/>
      <c r="D28" s="19"/>
      <c r="E28" s="19"/>
      <c r="F28" s="19"/>
      <c r="G28" s="19"/>
      <c r="H28" s="19"/>
      <c r="I28" s="21">
        <v>5</v>
      </c>
      <c r="J28" s="19" t="s">
        <v>16</v>
      </c>
      <c r="K28" s="21" t="s">
        <v>12</v>
      </c>
      <c r="L28" s="21">
        <v>15</v>
      </c>
      <c r="M28" s="21">
        <v>1</v>
      </c>
      <c r="N28" s="22">
        <v>600000</v>
      </c>
      <c r="O28" s="23">
        <f>10000/1100</f>
        <v>9.0909090909090917</v>
      </c>
      <c r="P28" s="24">
        <f t="shared" si="0"/>
        <v>9.0909090909090917</v>
      </c>
      <c r="Q28" s="25">
        <v>0</v>
      </c>
      <c r="R28" s="26"/>
      <c r="S28" s="22">
        <f t="shared" si="1"/>
        <v>0</v>
      </c>
      <c r="T28" s="19"/>
      <c r="U28" s="19"/>
    </row>
    <row r="29" spans="1:21">
      <c r="A29" s="18"/>
      <c r="B29" s="19"/>
      <c r="C29" s="20"/>
      <c r="D29" s="19"/>
      <c r="E29" s="19"/>
      <c r="F29" s="19"/>
      <c r="G29" s="19"/>
      <c r="H29" s="19"/>
      <c r="I29" s="19"/>
      <c r="J29" s="19"/>
      <c r="K29" s="21" t="s">
        <v>12</v>
      </c>
      <c r="L29" s="21">
        <v>10</v>
      </c>
      <c r="M29" s="21">
        <v>2</v>
      </c>
      <c r="N29" s="22">
        <v>500000</v>
      </c>
      <c r="O29" s="23">
        <f t="shared" ref="O29:O32" si="8">10000/1100</f>
        <v>9.0909090909090917</v>
      </c>
      <c r="P29" s="24">
        <f t="shared" si="0"/>
        <v>18.181818181818183</v>
      </c>
      <c r="Q29" s="25">
        <v>0</v>
      </c>
      <c r="R29" s="26"/>
      <c r="S29" s="22">
        <f t="shared" si="1"/>
        <v>0</v>
      </c>
      <c r="T29" s="19"/>
      <c r="U29" s="19"/>
    </row>
    <row r="30" spans="1:21">
      <c r="A30" s="18"/>
      <c r="B30" s="19"/>
      <c r="C30" s="20"/>
      <c r="D30" s="19"/>
      <c r="E30" s="19"/>
      <c r="F30" s="19"/>
      <c r="G30" s="19"/>
      <c r="H30" s="19"/>
      <c r="I30" s="19"/>
      <c r="J30" s="19"/>
      <c r="K30" s="21" t="s">
        <v>12</v>
      </c>
      <c r="L30" s="21">
        <v>6</v>
      </c>
      <c r="M30" s="21">
        <v>5</v>
      </c>
      <c r="N30" s="22">
        <v>200000</v>
      </c>
      <c r="O30" s="23">
        <f t="shared" si="8"/>
        <v>9.0909090909090917</v>
      </c>
      <c r="P30" s="24">
        <f t="shared" si="0"/>
        <v>45.45454545454546</v>
      </c>
      <c r="Q30" s="25">
        <v>0</v>
      </c>
      <c r="R30" s="26"/>
      <c r="S30" s="22">
        <f t="shared" si="1"/>
        <v>0</v>
      </c>
      <c r="T30" s="19"/>
      <c r="U30" s="19"/>
    </row>
    <row r="31" spans="1:21">
      <c r="A31" s="18"/>
      <c r="B31" s="19"/>
      <c r="C31" s="20"/>
      <c r="D31" s="19"/>
      <c r="E31" s="19"/>
      <c r="F31" s="19"/>
      <c r="G31" s="19"/>
      <c r="H31" s="19"/>
      <c r="I31" s="19"/>
      <c r="J31" s="19"/>
      <c r="K31" s="21" t="s">
        <v>12</v>
      </c>
      <c r="L31" s="21">
        <v>5</v>
      </c>
      <c r="M31" s="21">
        <v>3</v>
      </c>
      <c r="N31" s="22">
        <v>200000</v>
      </c>
      <c r="O31" s="23">
        <f t="shared" si="8"/>
        <v>9.0909090909090917</v>
      </c>
      <c r="P31" s="24">
        <f t="shared" si="0"/>
        <v>27.272727272727273</v>
      </c>
      <c r="Q31" s="25">
        <v>0</v>
      </c>
      <c r="R31" s="26"/>
      <c r="S31" s="22">
        <f>+M31*N31*Q31</f>
        <v>0</v>
      </c>
      <c r="T31" s="19"/>
      <c r="U31" s="19"/>
    </row>
    <row r="32" spans="1:21">
      <c r="A32" s="18"/>
      <c r="B32" s="19"/>
      <c r="C32" s="20"/>
      <c r="D32" s="19"/>
      <c r="E32" s="19"/>
      <c r="F32" s="19"/>
      <c r="G32" s="19"/>
      <c r="H32" s="19"/>
      <c r="I32" s="19"/>
      <c r="J32" s="19"/>
      <c r="K32" s="21" t="s">
        <v>12</v>
      </c>
      <c r="L32" s="21">
        <v>2</v>
      </c>
      <c r="M32" s="21">
        <v>3</v>
      </c>
      <c r="N32" s="22">
        <v>200000</v>
      </c>
      <c r="O32" s="23">
        <f t="shared" si="8"/>
        <v>9.0909090909090917</v>
      </c>
      <c r="P32" s="24">
        <f t="shared" si="0"/>
        <v>27.272727272727273</v>
      </c>
      <c r="Q32" s="25">
        <v>0</v>
      </c>
      <c r="R32" s="26"/>
      <c r="S32" s="22">
        <f t="shared" si="1"/>
        <v>0</v>
      </c>
      <c r="T32" s="19"/>
      <c r="U32" s="19"/>
    </row>
    <row r="33" spans="1:21" ht="33">
      <c r="A33" s="18"/>
      <c r="B33" s="19"/>
      <c r="C33" s="20"/>
      <c r="D33" s="19"/>
      <c r="E33" s="19"/>
      <c r="F33" s="19"/>
      <c r="G33" s="19"/>
      <c r="H33" s="19"/>
      <c r="I33" s="21">
        <v>6</v>
      </c>
      <c r="J33" s="19" t="s">
        <v>17</v>
      </c>
      <c r="K33" s="21" t="s">
        <v>18</v>
      </c>
      <c r="L33" s="19"/>
      <c r="M33" s="21">
        <v>6.4</v>
      </c>
      <c r="N33" s="22">
        <v>12500</v>
      </c>
      <c r="O33" s="19"/>
      <c r="P33" s="28">
        <f>M33</f>
        <v>6.4</v>
      </c>
      <c r="Q33" s="25">
        <v>0.8</v>
      </c>
      <c r="R33" s="26"/>
      <c r="S33" s="22">
        <f>+M33*N33*Q33</f>
        <v>64000</v>
      </c>
      <c r="T33" s="19"/>
      <c r="U33" s="19"/>
    </row>
    <row r="34" spans="1:21">
      <c r="A34" s="18"/>
      <c r="B34" s="19"/>
      <c r="C34" s="20"/>
      <c r="D34" s="19"/>
      <c r="E34" s="19"/>
      <c r="F34" s="19"/>
      <c r="G34" s="19"/>
      <c r="H34" s="19"/>
      <c r="I34" s="21">
        <v>7</v>
      </c>
      <c r="J34" s="19" t="s">
        <v>19</v>
      </c>
      <c r="K34" s="21" t="s">
        <v>12</v>
      </c>
      <c r="L34" s="21">
        <v>10</v>
      </c>
      <c r="M34" s="21">
        <v>1</v>
      </c>
      <c r="N34" s="22">
        <v>1800000</v>
      </c>
      <c r="O34" s="27">
        <f>10000/500</f>
        <v>20</v>
      </c>
      <c r="P34" s="42">
        <f t="shared" si="0"/>
        <v>20</v>
      </c>
      <c r="Q34" s="43">
        <f t="shared" si="4"/>
        <v>0.4</v>
      </c>
      <c r="R34" s="26"/>
      <c r="S34" s="22">
        <f t="shared" si="1"/>
        <v>720000</v>
      </c>
      <c r="T34" s="19"/>
      <c r="U34" s="19"/>
    </row>
    <row r="35" spans="1:21">
      <c r="A35" s="18"/>
      <c r="B35" s="19"/>
      <c r="C35" s="20"/>
      <c r="D35" s="19"/>
      <c r="E35" s="19"/>
      <c r="F35" s="19"/>
      <c r="G35" s="19"/>
      <c r="H35" s="19"/>
      <c r="I35" s="19"/>
      <c r="J35" s="19"/>
      <c r="K35" s="21" t="s">
        <v>12</v>
      </c>
      <c r="L35" s="21">
        <v>6</v>
      </c>
      <c r="M35" s="21">
        <v>1</v>
      </c>
      <c r="N35" s="22">
        <v>1100000</v>
      </c>
      <c r="O35" s="27">
        <f>10000/500</f>
        <v>20</v>
      </c>
      <c r="P35" s="42">
        <f t="shared" si="0"/>
        <v>20</v>
      </c>
      <c r="Q35" s="43">
        <f t="shared" si="4"/>
        <v>0.4</v>
      </c>
      <c r="R35" s="26"/>
      <c r="S35" s="22">
        <f t="shared" si="1"/>
        <v>440000</v>
      </c>
      <c r="T35" s="19"/>
      <c r="U35" s="19"/>
    </row>
    <row r="36" spans="1:21">
      <c r="A36" s="18"/>
      <c r="B36" s="19"/>
      <c r="C36" s="20"/>
      <c r="D36" s="19"/>
      <c r="E36" s="19"/>
      <c r="F36" s="19"/>
      <c r="G36" s="19"/>
      <c r="H36" s="19"/>
      <c r="I36" s="21">
        <v>8</v>
      </c>
      <c r="J36" s="19" t="s">
        <v>20</v>
      </c>
      <c r="K36" s="21" t="s">
        <v>12</v>
      </c>
      <c r="L36" s="21">
        <v>5</v>
      </c>
      <c r="M36" s="21">
        <v>2</v>
      </c>
      <c r="N36" s="22">
        <v>200000</v>
      </c>
      <c r="O36" s="27">
        <f>10000/25000</f>
        <v>0.4</v>
      </c>
      <c r="P36" s="42">
        <f t="shared" si="0"/>
        <v>0.8</v>
      </c>
      <c r="Q36" s="43">
        <v>0</v>
      </c>
      <c r="R36" s="26"/>
      <c r="S36" s="22">
        <f t="shared" si="1"/>
        <v>0</v>
      </c>
      <c r="T36" s="19"/>
      <c r="U36" s="19"/>
    </row>
    <row r="37" spans="1:21">
      <c r="A37" s="18"/>
      <c r="B37" s="19"/>
      <c r="C37" s="20"/>
      <c r="D37" s="19"/>
      <c r="E37" s="19"/>
      <c r="F37" s="19"/>
      <c r="G37" s="19"/>
      <c r="H37" s="19"/>
      <c r="I37" s="21">
        <v>9</v>
      </c>
      <c r="J37" s="19" t="s">
        <v>21</v>
      </c>
      <c r="K37" s="21" t="s">
        <v>12</v>
      </c>
      <c r="L37" s="21">
        <v>8</v>
      </c>
      <c r="M37" s="21">
        <v>1</v>
      </c>
      <c r="N37" s="22">
        <v>500000</v>
      </c>
      <c r="O37" s="27">
        <f>10000/400</f>
        <v>25</v>
      </c>
      <c r="P37" s="42">
        <f t="shared" si="0"/>
        <v>25</v>
      </c>
      <c r="Q37" s="43">
        <v>0</v>
      </c>
      <c r="R37" s="26"/>
      <c r="S37" s="22">
        <f t="shared" si="1"/>
        <v>0</v>
      </c>
      <c r="T37" s="19"/>
      <c r="U37" s="19"/>
    </row>
    <row r="38" spans="1:21">
      <c r="A38" s="18"/>
      <c r="B38" s="19"/>
      <c r="C38" s="20"/>
      <c r="D38" s="19"/>
      <c r="E38" s="19"/>
      <c r="F38" s="19"/>
      <c r="G38" s="19"/>
      <c r="H38" s="19"/>
      <c r="I38" s="19"/>
      <c r="J38" s="19"/>
      <c r="K38" s="21" t="s">
        <v>12</v>
      </c>
      <c r="L38" s="21">
        <v>6</v>
      </c>
      <c r="M38" s="21">
        <v>3</v>
      </c>
      <c r="N38" s="22">
        <v>230000</v>
      </c>
      <c r="O38" s="27">
        <f>10000/400</f>
        <v>25</v>
      </c>
      <c r="P38" s="42">
        <f t="shared" si="0"/>
        <v>75</v>
      </c>
      <c r="Q38" s="43">
        <v>0</v>
      </c>
      <c r="R38" s="26"/>
      <c r="S38" s="22">
        <f t="shared" si="1"/>
        <v>0</v>
      </c>
      <c r="T38" s="19"/>
      <c r="U38" s="19"/>
    </row>
    <row r="39" spans="1:21">
      <c r="A39" s="18"/>
      <c r="B39" s="19"/>
      <c r="C39" s="20"/>
      <c r="D39" s="19"/>
      <c r="E39" s="19"/>
      <c r="F39" s="19"/>
      <c r="G39" s="19"/>
      <c r="H39" s="19"/>
      <c r="I39" s="21">
        <v>10</v>
      </c>
      <c r="J39" s="19" t="s">
        <v>22</v>
      </c>
      <c r="K39" s="21" t="s">
        <v>23</v>
      </c>
      <c r="L39" s="19"/>
      <c r="M39" s="21">
        <v>51</v>
      </c>
      <c r="N39" s="22">
        <v>150000</v>
      </c>
      <c r="O39" s="27">
        <f>10000/2500</f>
        <v>4</v>
      </c>
      <c r="P39" s="42">
        <f t="shared" si="0"/>
        <v>204</v>
      </c>
      <c r="Q39" s="43">
        <v>0.4</v>
      </c>
      <c r="R39" s="26"/>
      <c r="S39" s="22">
        <f t="shared" si="1"/>
        <v>3060000</v>
      </c>
      <c r="T39" s="19"/>
      <c r="U39" s="19"/>
    </row>
    <row r="40" spans="1:21">
      <c r="A40" s="18"/>
      <c r="B40" s="19"/>
      <c r="C40" s="20"/>
      <c r="D40" s="19"/>
      <c r="E40" s="19"/>
      <c r="F40" s="19"/>
      <c r="G40" s="19"/>
      <c r="H40" s="19"/>
      <c r="I40" s="19"/>
      <c r="J40" s="19" t="s">
        <v>24</v>
      </c>
      <c r="K40" s="21" t="s">
        <v>23</v>
      </c>
      <c r="L40" s="19"/>
      <c r="M40" s="21">
        <v>7</v>
      </c>
      <c r="N40" s="22">
        <v>200000</v>
      </c>
      <c r="O40" s="27">
        <f>10000/2500</f>
        <v>4</v>
      </c>
      <c r="P40" s="42">
        <f t="shared" si="0"/>
        <v>28</v>
      </c>
      <c r="Q40" s="43">
        <f t="shared" ref="Q40:Q43" si="9">80%*50%</f>
        <v>0.4</v>
      </c>
      <c r="R40" s="26"/>
      <c r="S40" s="22">
        <f t="shared" si="1"/>
        <v>560000</v>
      </c>
      <c r="T40" s="19"/>
      <c r="U40" s="19"/>
    </row>
    <row r="41" spans="1:21">
      <c r="A41" s="18"/>
      <c r="B41" s="19"/>
      <c r="C41" s="20"/>
      <c r="D41" s="19"/>
      <c r="E41" s="19"/>
      <c r="F41" s="19"/>
      <c r="G41" s="19"/>
      <c r="H41" s="19"/>
      <c r="I41" s="21">
        <v>11</v>
      </c>
      <c r="J41" s="19" t="s">
        <v>25</v>
      </c>
      <c r="K41" s="21" t="s">
        <v>12</v>
      </c>
      <c r="L41" s="21">
        <v>20</v>
      </c>
      <c r="M41" s="21">
        <v>3</v>
      </c>
      <c r="N41" s="22">
        <v>3850000</v>
      </c>
      <c r="O41" s="27">
        <f>10000/400</f>
        <v>25</v>
      </c>
      <c r="P41" s="42">
        <f t="shared" si="0"/>
        <v>75</v>
      </c>
      <c r="Q41" s="43">
        <f t="shared" si="9"/>
        <v>0.4</v>
      </c>
      <c r="R41" s="26"/>
      <c r="S41" s="22">
        <f t="shared" si="1"/>
        <v>4620000</v>
      </c>
      <c r="T41" s="19"/>
      <c r="U41" s="19"/>
    </row>
    <row r="42" spans="1:21">
      <c r="A42" s="18"/>
      <c r="B42" s="19"/>
      <c r="C42" s="20"/>
      <c r="D42" s="19"/>
      <c r="E42" s="19"/>
      <c r="F42" s="19"/>
      <c r="G42" s="19"/>
      <c r="H42" s="19"/>
      <c r="I42" s="19"/>
      <c r="J42" s="19"/>
      <c r="K42" s="21" t="s">
        <v>12</v>
      </c>
      <c r="L42" s="21">
        <v>15</v>
      </c>
      <c r="M42" s="21">
        <v>1</v>
      </c>
      <c r="N42" s="22">
        <v>3750000</v>
      </c>
      <c r="O42" s="27">
        <f>10000/400</f>
        <v>25</v>
      </c>
      <c r="P42" s="42">
        <f t="shared" si="0"/>
        <v>25</v>
      </c>
      <c r="Q42" s="43">
        <f t="shared" si="9"/>
        <v>0.4</v>
      </c>
      <c r="R42" s="26"/>
      <c r="S42" s="22">
        <f t="shared" si="1"/>
        <v>1500000</v>
      </c>
      <c r="T42" s="19"/>
      <c r="U42" s="19"/>
    </row>
    <row r="43" spans="1:21">
      <c r="A43" s="18"/>
      <c r="B43" s="19"/>
      <c r="C43" s="20"/>
      <c r="D43" s="19"/>
      <c r="E43" s="19"/>
      <c r="F43" s="19"/>
      <c r="G43" s="19"/>
      <c r="H43" s="19"/>
      <c r="I43" s="21">
        <v>12</v>
      </c>
      <c r="J43" s="19" t="s">
        <v>26</v>
      </c>
      <c r="K43" s="21" t="s">
        <v>12</v>
      </c>
      <c r="L43" s="21">
        <v>25</v>
      </c>
      <c r="M43" s="21">
        <v>1</v>
      </c>
      <c r="N43" s="22">
        <v>1400000</v>
      </c>
      <c r="O43" s="23">
        <f>10000/350</f>
        <v>28.571428571428573</v>
      </c>
      <c r="P43" s="44">
        <f t="shared" si="0"/>
        <v>28.571428571428573</v>
      </c>
      <c r="Q43" s="43">
        <f t="shared" si="9"/>
        <v>0.4</v>
      </c>
      <c r="R43" s="26"/>
      <c r="S43" s="22">
        <f t="shared" si="1"/>
        <v>560000</v>
      </c>
      <c r="T43" s="19"/>
      <c r="U43" s="19"/>
    </row>
    <row r="44" spans="1:21">
      <c r="A44" s="18"/>
      <c r="B44" s="19"/>
      <c r="C44" s="20"/>
      <c r="D44" s="19"/>
      <c r="E44" s="19"/>
      <c r="F44" s="19"/>
      <c r="G44" s="19"/>
      <c r="H44" s="19"/>
      <c r="I44" s="21">
        <v>13</v>
      </c>
      <c r="J44" s="19" t="s">
        <v>27</v>
      </c>
      <c r="K44" s="21" t="s">
        <v>12</v>
      </c>
      <c r="L44" s="21">
        <v>35</v>
      </c>
      <c r="M44" s="21">
        <v>1</v>
      </c>
      <c r="N44" s="22">
        <v>500000</v>
      </c>
      <c r="O44" s="23">
        <f>10000/1500</f>
        <v>6.666666666666667</v>
      </c>
      <c r="P44" s="24">
        <f t="shared" si="0"/>
        <v>6.666666666666667</v>
      </c>
      <c r="Q44" s="25">
        <v>0</v>
      </c>
      <c r="R44" s="26"/>
      <c r="S44" s="22">
        <f t="shared" si="1"/>
        <v>0</v>
      </c>
      <c r="T44" s="19"/>
      <c r="U44" s="19"/>
    </row>
    <row r="45" spans="1:21" ht="33">
      <c r="A45" s="18"/>
      <c r="B45" s="19"/>
      <c r="C45" s="20"/>
      <c r="D45" s="19"/>
      <c r="E45" s="19"/>
      <c r="F45" s="19"/>
      <c r="G45" s="19"/>
      <c r="H45" s="19"/>
      <c r="I45" s="21">
        <v>14</v>
      </c>
      <c r="J45" s="19" t="s">
        <v>28</v>
      </c>
      <c r="K45" s="19"/>
      <c r="L45" s="19"/>
      <c r="M45" s="21"/>
      <c r="N45" s="19"/>
      <c r="O45" s="19"/>
      <c r="P45" s="19"/>
      <c r="Q45" s="19"/>
      <c r="R45" s="19"/>
      <c r="S45" s="22"/>
      <c r="T45" s="19"/>
      <c r="U45" s="19"/>
    </row>
    <row r="46" spans="1:21" ht="33">
      <c r="A46" s="18"/>
      <c r="B46" s="19"/>
      <c r="C46" s="20"/>
      <c r="D46" s="19"/>
      <c r="E46" s="19"/>
      <c r="F46" s="19"/>
      <c r="G46" s="19"/>
      <c r="H46" s="19"/>
      <c r="I46" s="19"/>
      <c r="J46" s="19" t="s">
        <v>29</v>
      </c>
      <c r="K46" s="21" t="s">
        <v>18</v>
      </c>
      <c r="L46" s="19"/>
      <c r="M46" s="21">
        <v>280</v>
      </c>
      <c r="N46" s="22">
        <v>45000</v>
      </c>
      <c r="O46" s="27">
        <v>2.5</v>
      </c>
      <c r="P46" s="19"/>
      <c r="Q46" s="29">
        <v>0.5</v>
      </c>
      <c r="R46" s="19"/>
      <c r="S46" s="22">
        <f t="shared" si="1"/>
        <v>6300000</v>
      </c>
      <c r="T46" s="19"/>
      <c r="U46" s="19"/>
    </row>
    <row r="47" spans="1:21">
      <c r="A47" s="18"/>
      <c r="B47" s="19"/>
      <c r="C47" s="20"/>
      <c r="D47" s="19"/>
      <c r="E47" s="19"/>
      <c r="F47" s="19"/>
      <c r="G47" s="19"/>
      <c r="H47" s="19"/>
      <c r="I47" s="21" t="s">
        <v>30</v>
      </c>
      <c r="J47" s="19" t="s">
        <v>31</v>
      </c>
      <c r="K47" s="19"/>
      <c r="L47" s="19"/>
      <c r="M47" s="21"/>
      <c r="N47" s="19"/>
      <c r="O47" s="19"/>
      <c r="P47" s="19"/>
      <c r="Q47" s="19"/>
      <c r="R47" s="19"/>
      <c r="S47" s="22"/>
      <c r="T47" s="19"/>
      <c r="U47" s="19"/>
    </row>
    <row r="48" spans="1:21">
      <c r="A48" s="18"/>
      <c r="B48" s="19"/>
      <c r="C48" s="20"/>
      <c r="D48" s="19"/>
      <c r="E48" s="19"/>
      <c r="F48" s="19"/>
      <c r="G48" s="19"/>
      <c r="H48" s="19"/>
      <c r="I48" s="19"/>
      <c r="J48" s="19" t="s">
        <v>32</v>
      </c>
      <c r="K48" s="19"/>
      <c r="L48" s="19"/>
      <c r="M48" s="21"/>
      <c r="N48" s="19"/>
      <c r="O48" s="19"/>
      <c r="P48" s="19"/>
      <c r="Q48" s="19"/>
      <c r="R48" s="19"/>
      <c r="S48" s="22"/>
      <c r="T48" s="19"/>
      <c r="U48" s="19"/>
    </row>
    <row r="49" spans="1:21" ht="33">
      <c r="A49" s="18"/>
      <c r="B49" s="19"/>
      <c r="C49" s="20"/>
      <c r="D49" s="19"/>
      <c r="E49" s="19"/>
      <c r="F49" s="19"/>
      <c r="G49" s="19"/>
      <c r="H49" s="19"/>
      <c r="I49" s="21">
        <v>1</v>
      </c>
      <c r="J49" s="19" t="s">
        <v>33</v>
      </c>
      <c r="K49" s="21" t="s">
        <v>18</v>
      </c>
      <c r="L49" s="19"/>
      <c r="M49" s="21">
        <v>16.25</v>
      </c>
      <c r="N49" s="22">
        <v>222867</v>
      </c>
      <c r="O49" s="19"/>
      <c r="P49" s="19"/>
      <c r="Q49" s="29">
        <v>0.3</v>
      </c>
      <c r="R49" s="21">
        <v>1.0369999999999999</v>
      </c>
      <c r="S49" s="22">
        <f>+M49*N49*Q49*R49</f>
        <v>1126676.260125</v>
      </c>
      <c r="T49" s="19"/>
      <c r="U49" s="19"/>
    </row>
    <row r="50" spans="1:21" ht="49.5">
      <c r="A50" s="18"/>
      <c r="B50" s="19"/>
      <c r="C50" s="20"/>
      <c r="D50" s="19"/>
      <c r="E50" s="19"/>
      <c r="F50" s="19"/>
      <c r="G50" s="19"/>
      <c r="H50" s="19"/>
      <c r="I50" s="21">
        <v>2</v>
      </c>
      <c r="J50" s="19" t="s">
        <v>34</v>
      </c>
      <c r="K50" s="21" t="s">
        <v>18</v>
      </c>
      <c r="L50" s="19"/>
      <c r="M50" s="21">
        <v>5.55</v>
      </c>
      <c r="N50" s="22">
        <v>87739</v>
      </c>
      <c r="O50" s="19"/>
      <c r="P50" s="19"/>
      <c r="Q50" s="29">
        <v>0.3</v>
      </c>
      <c r="R50" s="21">
        <v>1.0369999999999999</v>
      </c>
      <c r="S50" s="22">
        <f t="shared" ref="S50:S60" si="10">+M50*N50*Q50*R50</f>
        <v>151490.59609499999</v>
      </c>
      <c r="T50" s="19"/>
      <c r="U50" s="19"/>
    </row>
    <row r="51" spans="1:21" ht="33">
      <c r="A51" s="18"/>
      <c r="B51" s="19"/>
      <c r="C51" s="20"/>
      <c r="D51" s="19"/>
      <c r="E51" s="19"/>
      <c r="F51" s="19"/>
      <c r="G51" s="19"/>
      <c r="H51" s="19"/>
      <c r="I51" s="21">
        <v>3</v>
      </c>
      <c r="J51" s="19" t="s">
        <v>35</v>
      </c>
      <c r="K51" s="21" t="s">
        <v>18</v>
      </c>
      <c r="L51" s="19"/>
      <c r="M51" s="21">
        <v>21.45</v>
      </c>
      <c r="N51" s="22">
        <v>943422</v>
      </c>
      <c r="O51" s="19"/>
      <c r="P51" s="19"/>
      <c r="Q51" s="29">
        <v>0.3</v>
      </c>
      <c r="R51" s="21">
        <v>1.0369999999999999</v>
      </c>
      <c r="S51" s="22">
        <f t="shared" si="10"/>
        <v>6295544.6310899984</v>
      </c>
      <c r="T51" s="19"/>
      <c r="U51" s="19"/>
    </row>
    <row r="52" spans="1:21" ht="33">
      <c r="A52" s="18"/>
      <c r="B52" s="19"/>
      <c r="C52" s="20"/>
      <c r="D52" s="19"/>
      <c r="E52" s="19"/>
      <c r="F52" s="19"/>
      <c r="G52" s="19"/>
      <c r="H52" s="19"/>
      <c r="I52" s="21">
        <v>4</v>
      </c>
      <c r="J52" s="19" t="s">
        <v>36</v>
      </c>
      <c r="K52" s="21" t="s">
        <v>18</v>
      </c>
      <c r="L52" s="19"/>
      <c r="M52" s="21">
        <v>16.45</v>
      </c>
      <c r="N52" s="22">
        <v>315499</v>
      </c>
      <c r="O52" s="19"/>
      <c r="P52" s="19"/>
      <c r="Q52" s="29">
        <v>0.3</v>
      </c>
      <c r="R52" s="21">
        <v>1.0369999999999999</v>
      </c>
      <c r="S52" s="22">
        <f t="shared" si="10"/>
        <v>1614596.1049049997</v>
      </c>
      <c r="T52" s="19"/>
      <c r="U52" s="19"/>
    </row>
    <row r="53" spans="1:21" ht="49.5">
      <c r="A53" s="18"/>
      <c r="B53" s="19"/>
      <c r="C53" s="20"/>
      <c r="D53" s="19"/>
      <c r="E53" s="19"/>
      <c r="F53" s="19"/>
      <c r="G53" s="19"/>
      <c r="H53" s="19"/>
      <c r="I53" s="21">
        <v>5</v>
      </c>
      <c r="J53" s="19" t="s">
        <v>37</v>
      </c>
      <c r="K53" s="21" t="s">
        <v>38</v>
      </c>
      <c r="L53" s="19"/>
      <c r="M53" s="21">
        <v>0.70620000000000005</v>
      </c>
      <c r="N53" s="22">
        <v>2261035</v>
      </c>
      <c r="O53" s="19"/>
      <c r="P53" s="19"/>
      <c r="Q53" s="29">
        <v>0.3</v>
      </c>
      <c r="R53" s="21">
        <v>1.0369999999999999</v>
      </c>
      <c r="S53" s="22">
        <f t="shared" si="10"/>
        <v>496746.72147869994</v>
      </c>
      <c r="T53" s="19"/>
      <c r="U53" s="19"/>
    </row>
    <row r="54" spans="1:21" ht="33">
      <c r="A54" s="18"/>
      <c r="B54" s="19"/>
      <c r="C54" s="20"/>
      <c r="D54" s="19"/>
      <c r="E54" s="19"/>
      <c r="F54" s="19"/>
      <c r="G54" s="19"/>
      <c r="H54" s="19"/>
      <c r="I54" s="21">
        <v>6</v>
      </c>
      <c r="J54" s="19" t="s">
        <v>39</v>
      </c>
      <c r="K54" s="21" t="s">
        <v>18</v>
      </c>
      <c r="L54" s="19"/>
      <c r="M54" s="21">
        <v>4.5999999999999996</v>
      </c>
      <c r="N54" s="22">
        <v>1025931</v>
      </c>
      <c r="O54" s="19"/>
      <c r="P54" s="19"/>
      <c r="Q54" s="29">
        <v>0.3</v>
      </c>
      <c r="R54" s="21">
        <v>1.0369999999999999</v>
      </c>
      <c r="S54" s="22">
        <f t="shared" si="10"/>
        <v>1468168.8168599997</v>
      </c>
      <c r="T54" s="19"/>
      <c r="U54" s="19"/>
    </row>
    <row r="55" spans="1:21" ht="33">
      <c r="A55" s="18"/>
      <c r="B55" s="19"/>
      <c r="C55" s="20"/>
      <c r="D55" s="19"/>
      <c r="E55" s="19"/>
      <c r="F55" s="19"/>
      <c r="G55" s="19"/>
      <c r="H55" s="19"/>
      <c r="I55" s="21">
        <v>7</v>
      </c>
      <c r="J55" s="19" t="s">
        <v>40</v>
      </c>
      <c r="K55" s="21" t="s">
        <v>18</v>
      </c>
      <c r="L55" s="19"/>
      <c r="M55" s="21">
        <v>19.8</v>
      </c>
      <c r="N55" s="22">
        <v>222867</v>
      </c>
      <c r="O55" s="19"/>
      <c r="P55" s="19"/>
      <c r="Q55" s="29">
        <v>0.3</v>
      </c>
      <c r="R55" s="21">
        <v>1.0369999999999999</v>
      </c>
      <c r="S55" s="22">
        <f t="shared" si="10"/>
        <v>1372811.6892600001</v>
      </c>
      <c r="T55" s="19"/>
      <c r="U55" s="19"/>
    </row>
    <row r="56" spans="1:21" ht="33">
      <c r="A56" s="18"/>
      <c r="B56" s="19"/>
      <c r="C56" s="20"/>
      <c r="D56" s="19"/>
      <c r="E56" s="19"/>
      <c r="F56" s="19"/>
      <c r="G56" s="19"/>
      <c r="H56" s="19"/>
      <c r="I56" s="21">
        <v>8</v>
      </c>
      <c r="J56" s="19" t="s">
        <v>41</v>
      </c>
      <c r="K56" s="21" t="s">
        <v>18</v>
      </c>
      <c r="L56" s="19"/>
      <c r="M56" s="21">
        <v>17</v>
      </c>
      <c r="N56" s="22">
        <v>564542</v>
      </c>
      <c r="O56" s="19"/>
      <c r="P56" s="19"/>
      <c r="Q56" s="29">
        <v>0.3</v>
      </c>
      <c r="R56" s="21">
        <v>1.0369999999999999</v>
      </c>
      <c r="S56" s="22">
        <f t="shared" si="10"/>
        <v>2985693.2753999997</v>
      </c>
      <c r="T56" s="19"/>
      <c r="U56" s="19"/>
    </row>
    <row r="57" spans="1:21" ht="33">
      <c r="A57" s="18"/>
      <c r="B57" s="19"/>
      <c r="C57" s="20"/>
      <c r="D57" s="19"/>
      <c r="E57" s="19"/>
      <c r="F57" s="19"/>
      <c r="G57" s="19"/>
      <c r="H57" s="19"/>
      <c r="I57" s="21">
        <v>9</v>
      </c>
      <c r="J57" s="19" t="s">
        <v>42</v>
      </c>
      <c r="K57" s="21" t="s">
        <v>38</v>
      </c>
      <c r="L57" s="19"/>
      <c r="M57" s="21">
        <v>0.27600000000000002</v>
      </c>
      <c r="N57" s="22">
        <v>3226656</v>
      </c>
      <c r="O57" s="19"/>
      <c r="P57" s="19"/>
      <c r="Q57" s="29">
        <v>0.3</v>
      </c>
      <c r="R57" s="21">
        <v>1.0369999999999999</v>
      </c>
      <c r="S57" s="22">
        <f t="shared" si="10"/>
        <v>277052.30012159998</v>
      </c>
      <c r="T57" s="19"/>
      <c r="U57" s="19"/>
    </row>
    <row r="58" spans="1:21" ht="33">
      <c r="A58" s="18"/>
      <c r="B58" s="19"/>
      <c r="C58" s="20"/>
      <c r="D58" s="19"/>
      <c r="E58" s="19"/>
      <c r="F58" s="19"/>
      <c r="G58" s="19"/>
      <c r="H58" s="19"/>
      <c r="I58" s="21">
        <v>10</v>
      </c>
      <c r="J58" s="19" t="s">
        <v>43</v>
      </c>
      <c r="K58" s="21" t="s">
        <v>38</v>
      </c>
      <c r="L58" s="19"/>
      <c r="M58" s="21">
        <v>0.184</v>
      </c>
      <c r="N58" s="22">
        <v>2878636</v>
      </c>
      <c r="O58" s="19"/>
      <c r="P58" s="19"/>
      <c r="Q58" s="29">
        <v>0.3</v>
      </c>
      <c r="R58" s="21">
        <v>1.0369999999999999</v>
      </c>
      <c r="S58" s="22">
        <f t="shared" si="10"/>
        <v>164780.03336639996</v>
      </c>
      <c r="T58" s="19"/>
      <c r="U58" s="19"/>
    </row>
    <row r="59" spans="1:21">
      <c r="A59" s="18"/>
      <c r="B59" s="19"/>
      <c r="C59" s="20"/>
      <c r="D59" s="19"/>
      <c r="E59" s="19"/>
      <c r="F59" s="19"/>
      <c r="G59" s="19"/>
      <c r="H59" s="19"/>
      <c r="I59" s="21">
        <v>11</v>
      </c>
      <c r="J59" s="19" t="s">
        <v>44</v>
      </c>
      <c r="K59" s="21" t="s">
        <v>45</v>
      </c>
      <c r="L59" s="19"/>
      <c r="M59" s="21">
        <v>45</v>
      </c>
      <c r="N59" s="22">
        <v>90756</v>
      </c>
      <c r="O59" s="19"/>
      <c r="P59" s="19"/>
      <c r="Q59" s="29">
        <v>0.3</v>
      </c>
      <c r="R59" s="21">
        <v>1.0369999999999999</v>
      </c>
      <c r="S59" s="22">
        <f t="shared" si="10"/>
        <v>1270538.622</v>
      </c>
      <c r="T59" s="19"/>
      <c r="U59" s="19"/>
    </row>
    <row r="60" spans="1:21" ht="33">
      <c r="A60" s="30"/>
      <c r="B60" s="31"/>
      <c r="C60" s="32"/>
      <c r="D60" s="31"/>
      <c r="E60" s="31"/>
      <c r="F60" s="31"/>
      <c r="G60" s="31"/>
      <c r="H60" s="31"/>
      <c r="I60" s="33">
        <v>12</v>
      </c>
      <c r="J60" s="31" t="s">
        <v>46</v>
      </c>
      <c r="K60" s="33" t="s">
        <v>18</v>
      </c>
      <c r="L60" s="31"/>
      <c r="M60" s="33">
        <v>15.6</v>
      </c>
      <c r="N60" s="34">
        <v>492726</v>
      </c>
      <c r="O60" s="31"/>
      <c r="P60" s="31"/>
      <c r="Q60" s="35">
        <v>0.3</v>
      </c>
      <c r="R60" s="33">
        <v>1.0369999999999999</v>
      </c>
      <c r="S60" s="34">
        <f t="shared" si="10"/>
        <v>2391278.1141599994</v>
      </c>
      <c r="T60" s="31"/>
      <c r="U60" s="31"/>
    </row>
    <row r="61" spans="1:21" ht="33">
      <c r="A61" s="10">
        <v>2</v>
      </c>
      <c r="B61" s="11" t="s">
        <v>47</v>
      </c>
      <c r="C61" s="36"/>
      <c r="D61" s="13" t="s">
        <v>1</v>
      </c>
      <c r="E61" s="11">
        <v>987</v>
      </c>
      <c r="F61" s="11">
        <v>60</v>
      </c>
      <c r="G61" s="11">
        <v>636.79999999999995</v>
      </c>
      <c r="H61" s="14">
        <v>2003</v>
      </c>
      <c r="I61" s="11"/>
      <c r="J61" s="11"/>
      <c r="K61" s="11"/>
      <c r="L61" s="11"/>
      <c r="M61" s="14"/>
      <c r="N61" s="11"/>
      <c r="O61" s="11"/>
      <c r="P61" s="11"/>
      <c r="Q61" s="11"/>
      <c r="R61" s="11"/>
      <c r="S61" s="11"/>
      <c r="T61" s="16">
        <f>SUM(S63:S76)</f>
        <v>18988000</v>
      </c>
      <c r="U61" s="37">
        <f>ROUND(T61,-3)</f>
        <v>18988000</v>
      </c>
    </row>
    <row r="62" spans="1:21" ht="33">
      <c r="A62" s="18"/>
      <c r="B62" s="19"/>
      <c r="C62" s="20"/>
      <c r="D62" s="19"/>
      <c r="E62" s="19"/>
      <c r="F62" s="19"/>
      <c r="G62" s="19"/>
      <c r="H62" s="19"/>
      <c r="I62" s="38" t="s">
        <v>10</v>
      </c>
      <c r="J62" s="18" t="s">
        <v>48</v>
      </c>
      <c r="K62" s="19"/>
      <c r="L62" s="19"/>
      <c r="M62" s="21"/>
      <c r="N62" s="19"/>
      <c r="O62" s="19"/>
      <c r="P62" s="19"/>
      <c r="Q62" s="19"/>
      <c r="R62" s="19"/>
      <c r="S62" s="19"/>
      <c r="T62" s="39"/>
      <c r="U62" s="19"/>
    </row>
    <row r="63" spans="1:21">
      <c r="A63" s="18"/>
      <c r="B63" s="19"/>
      <c r="C63" s="20"/>
      <c r="D63" s="19"/>
      <c r="E63" s="19"/>
      <c r="F63" s="19"/>
      <c r="G63" s="19"/>
      <c r="H63" s="19"/>
      <c r="I63" s="21">
        <v>1</v>
      </c>
      <c r="J63" s="19" t="s">
        <v>24</v>
      </c>
      <c r="K63" s="21" t="s">
        <v>23</v>
      </c>
      <c r="L63" s="19"/>
      <c r="M63" s="21">
        <v>1</v>
      </c>
      <c r="N63" s="22">
        <v>200000</v>
      </c>
      <c r="O63" s="27">
        <f>10000/2500</f>
        <v>4</v>
      </c>
      <c r="P63" s="23">
        <f>O63*M63</f>
        <v>4</v>
      </c>
      <c r="Q63" s="29">
        <v>0.8</v>
      </c>
      <c r="R63" s="19"/>
      <c r="S63" s="22">
        <f>M63*N63*Q63</f>
        <v>160000</v>
      </c>
      <c r="T63" s="19"/>
      <c r="U63" s="19"/>
    </row>
    <row r="64" spans="1:21">
      <c r="A64" s="18"/>
      <c r="B64" s="19"/>
      <c r="C64" s="20"/>
      <c r="D64" s="19"/>
      <c r="E64" s="19"/>
      <c r="F64" s="19"/>
      <c r="G64" s="19"/>
      <c r="H64" s="19"/>
      <c r="I64" s="19"/>
      <c r="J64" s="19" t="s">
        <v>22</v>
      </c>
      <c r="K64" s="21" t="s">
        <v>23</v>
      </c>
      <c r="L64" s="19"/>
      <c r="M64" s="21">
        <v>14</v>
      </c>
      <c r="N64" s="22">
        <v>150000</v>
      </c>
      <c r="O64" s="27">
        <f t="shared" ref="O64:O66" si="11">10000/2500</f>
        <v>4</v>
      </c>
      <c r="P64" s="23">
        <f t="shared" ref="P64:P66" si="12">O64*M64</f>
        <v>56</v>
      </c>
      <c r="Q64" s="29">
        <v>0.8</v>
      </c>
      <c r="R64" s="19"/>
      <c r="S64" s="22">
        <f>M64*N64*Q64</f>
        <v>1680000</v>
      </c>
      <c r="T64" s="19"/>
      <c r="U64" s="19"/>
    </row>
    <row r="65" spans="1:21" ht="33">
      <c r="A65" s="18"/>
      <c r="B65" s="19"/>
      <c r="C65" s="20"/>
      <c r="D65" s="19"/>
      <c r="E65" s="19"/>
      <c r="F65" s="19"/>
      <c r="G65" s="19"/>
      <c r="H65" s="19"/>
      <c r="I65" s="19"/>
      <c r="J65" s="19" t="s">
        <v>52</v>
      </c>
      <c r="K65" s="21" t="s">
        <v>23</v>
      </c>
      <c r="L65" s="19"/>
      <c r="M65" s="21">
        <v>6</v>
      </c>
      <c r="N65" s="22">
        <v>150000</v>
      </c>
      <c r="O65" s="27">
        <f t="shared" si="11"/>
        <v>4</v>
      </c>
      <c r="P65" s="23">
        <f t="shared" si="12"/>
        <v>24</v>
      </c>
      <c r="Q65" s="29">
        <f>30%*80%</f>
        <v>0.24</v>
      </c>
      <c r="R65" s="19"/>
      <c r="S65" s="22">
        <f>M65*N65*Q65</f>
        <v>216000</v>
      </c>
      <c r="T65" s="19"/>
      <c r="U65" s="19"/>
    </row>
    <row r="66" spans="1:21" ht="33">
      <c r="A66" s="18"/>
      <c r="B66" s="19"/>
      <c r="C66" s="20"/>
      <c r="D66" s="19"/>
      <c r="E66" s="19"/>
      <c r="F66" s="19"/>
      <c r="G66" s="19"/>
      <c r="H66" s="19"/>
      <c r="I66" s="19"/>
      <c r="J66" s="19" t="s">
        <v>51</v>
      </c>
      <c r="K66" s="21" t="s">
        <v>23</v>
      </c>
      <c r="L66" s="19"/>
      <c r="M66" s="21">
        <v>15</v>
      </c>
      <c r="N66" s="22">
        <v>150000</v>
      </c>
      <c r="O66" s="27">
        <f t="shared" si="11"/>
        <v>4</v>
      </c>
      <c r="P66" s="23">
        <f t="shared" si="12"/>
        <v>60</v>
      </c>
      <c r="Q66" s="29">
        <v>0</v>
      </c>
      <c r="R66" s="19"/>
      <c r="S66" s="22">
        <f>M66*N66*Q66</f>
        <v>0</v>
      </c>
      <c r="T66" s="19"/>
      <c r="U66" s="19"/>
    </row>
    <row r="67" spans="1:21" ht="49.5">
      <c r="A67" s="18"/>
      <c r="B67" s="19"/>
      <c r="C67" s="20"/>
      <c r="D67" s="19"/>
      <c r="E67" s="19"/>
      <c r="F67" s="19"/>
      <c r="G67" s="19"/>
      <c r="H67" s="19"/>
      <c r="I67" s="38" t="s">
        <v>30</v>
      </c>
      <c r="J67" s="18" t="s">
        <v>88</v>
      </c>
      <c r="K67" s="19"/>
      <c r="L67" s="19"/>
      <c r="M67" s="21"/>
      <c r="N67" s="19"/>
      <c r="O67" s="19"/>
      <c r="P67" s="19"/>
      <c r="Q67" s="19"/>
      <c r="R67" s="19"/>
      <c r="S67" s="22"/>
      <c r="T67" s="19"/>
      <c r="U67" s="19"/>
    </row>
    <row r="68" spans="1:21">
      <c r="A68" s="18"/>
      <c r="B68" s="19"/>
      <c r="C68" s="20"/>
      <c r="D68" s="19"/>
      <c r="E68" s="19"/>
      <c r="F68" s="19"/>
      <c r="G68" s="19"/>
      <c r="H68" s="19"/>
      <c r="I68" s="21">
        <v>1</v>
      </c>
      <c r="J68" s="19" t="s">
        <v>14</v>
      </c>
      <c r="K68" s="21" t="s">
        <v>12</v>
      </c>
      <c r="L68" s="21">
        <v>30</v>
      </c>
      <c r="M68" s="21">
        <v>1</v>
      </c>
      <c r="N68" s="22">
        <v>2000000</v>
      </c>
      <c r="O68" s="27">
        <f>10000/400</f>
        <v>25</v>
      </c>
      <c r="P68" s="27">
        <f>O68*M68</f>
        <v>25</v>
      </c>
      <c r="Q68" s="29">
        <f>50%*80%</f>
        <v>0.4</v>
      </c>
      <c r="R68" s="19"/>
      <c r="S68" s="22">
        <f t="shared" ref="S68:S76" si="13">M68*N68*Q68</f>
        <v>800000</v>
      </c>
      <c r="T68" s="19"/>
      <c r="U68" s="19"/>
    </row>
    <row r="69" spans="1:21">
      <c r="A69" s="18"/>
      <c r="B69" s="19"/>
      <c r="C69" s="20"/>
      <c r="D69" s="19"/>
      <c r="E69" s="19"/>
      <c r="F69" s="19"/>
      <c r="G69" s="19"/>
      <c r="H69" s="19"/>
      <c r="I69" s="19"/>
      <c r="J69" s="19"/>
      <c r="K69" s="21" t="s">
        <v>12</v>
      </c>
      <c r="L69" s="21">
        <v>15</v>
      </c>
      <c r="M69" s="21">
        <v>2</v>
      </c>
      <c r="N69" s="22">
        <v>1000000</v>
      </c>
      <c r="O69" s="27">
        <f t="shared" ref="O69:O71" si="14">10000/400</f>
        <v>25</v>
      </c>
      <c r="P69" s="27">
        <f t="shared" ref="P69:P76" si="15">O69*M69</f>
        <v>50</v>
      </c>
      <c r="Q69" s="29">
        <f t="shared" ref="Q69:Q71" si="16">50%*80%</f>
        <v>0.4</v>
      </c>
      <c r="R69" s="19"/>
      <c r="S69" s="22">
        <f t="shared" si="13"/>
        <v>800000</v>
      </c>
      <c r="T69" s="19"/>
      <c r="U69" s="19"/>
    </row>
    <row r="70" spans="1:21">
      <c r="A70" s="18"/>
      <c r="B70" s="19"/>
      <c r="C70" s="20"/>
      <c r="D70" s="19"/>
      <c r="E70" s="19"/>
      <c r="F70" s="19"/>
      <c r="G70" s="19"/>
      <c r="H70" s="19"/>
      <c r="I70" s="19"/>
      <c r="J70" s="19"/>
      <c r="K70" s="21" t="s">
        <v>12</v>
      </c>
      <c r="L70" s="21">
        <v>8</v>
      </c>
      <c r="M70" s="21">
        <v>1</v>
      </c>
      <c r="N70" s="22">
        <v>500000</v>
      </c>
      <c r="O70" s="27">
        <f t="shared" si="14"/>
        <v>25</v>
      </c>
      <c r="P70" s="27">
        <f t="shared" si="15"/>
        <v>25</v>
      </c>
      <c r="Q70" s="29">
        <f t="shared" si="16"/>
        <v>0.4</v>
      </c>
      <c r="R70" s="19"/>
      <c r="S70" s="22">
        <f t="shared" si="13"/>
        <v>200000</v>
      </c>
      <c r="T70" s="19"/>
      <c r="U70" s="19"/>
    </row>
    <row r="71" spans="1:21">
      <c r="A71" s="18"/>
      <c r="B71" s="19"/>
      <c r="C71" s="20"/>
      <c r="D71" s="19"/>
      <c r="E71" s="19"/>
      <c r="F71" s="19"/>
      <c r="G71" s="19"/>
      <c r="H71" s="19"/>
      <c r="I71" s="19"/>
      <c r="J71" s="19"/>
      <c r="K71" s="21" t="s">
        <v>12</v>
      </c>
      <c r="L71" s="21">
        <v>6</v>
      </c>
      <c r="M71" s="21">
        <v>1</v>
      </c>
      <c r="N71" s="22">
        <v>500000</v>
      </c>
      <c r="O71" s="27">
        <f t="shared" si="14"/>
        <v>25</v>
      </c>
      <c r="P71" s="27">
        <f t="shared" si="15"/>
        <v>25</v>
      </c>
      <c r="Q71" s="29">
        <f t="shared" si="16"/>
        <v>0.4</v>
      </c>
      <c r="R71" s="19"/>
      <c r="S71" s="22">
        <f t="shared" si="13"/>
        <v>200000</v>
      </c>
      <c r="T71" s="19"/>
      <c r="U71" s="19"/>
    </row>
    <row r="72" spans="1:21">
      <c r="A72" s="18"/>
      <c r="B72" s="19"/>
      <c r="C72" s="20"/>
      <c r="D72" s="19"/>
      <c r="E72" s="19"/>
      <c r="F72" s="19"/>
      <c r="G72" s="19"/>
      <c r="H72" s="19"/>
      <c r="I72" s="21">
        <v>2</v>
      </c>
      <c r="J72" s="19" t="s">
        <v>16</v>
      </c>
      <c r="K72" s="21" t="s">
        <v>12</v>
      </c>
      <c r="L72" s="21">
        <v>15</v>
      </c>
      <c r="M72" s="21">
        <v>2</v>
      </c>
      <c r="N72" s="22">
        <v>600000</v>
      </c>
      <c r="O72" s="27">
        <f>10000/1000</f>
        <v>10</v>
      </c>
      <c r="P72" s="27">
        <f t="shared" si="15"/>
        <v>20</v>
      </c>
      <c r="Q72" s="29">
        <f>50%*80%</f>
        <v>0.4</v>
      </c>
      <c r="R72" s="19"/>
      <c r="S72" s="22">
        <f t="shared" si="13"/>
        <v>480000</v>
      </c>
      <c r="T72" s="19"/>
      <c r="U72" s="19"/>
    </row>
    <row r="73" spans="1:21">
      <c r="A73" s="18"/>
      <c r="B73" s="19"/>
      <c r="C73" s="20"/>
      <c r="D73" s="19"/>
      <c r="E73" s="19"/>
      <c r="F73" s="19"/>
      <c r="G73" s="19"/>
      <c r="H73" s="19"/>
      <c r="I73" s="21">
        <v>3</v>
      </c>
      <c r="J73" s="19" t="s">
        <v>15</v>
      </c>
      <c r="K73" s="21" t="s">
        <v>12</v>
      </c>
      <c r="L73" s="21">
        <v>6</v>
      </c>
      <c r="M73" s="21">
        <v>1</v>
      </c>
      <c r="N73" s="22">
        <v>230000</v>
      </c>
      <c r="O73" s="23">
        <f>10000/1500</f>
        <v>6.666666666666667</v>
      </c>
      <c r="P73" s="23">
        <f t="shared" si="15"/>
        <v>6.666666666666667</v>
      </c>
      <c r="Q73" s="29">
        <f t="shared" ref="Q73:Q74" si="17">50%*80%</f>
        <v>0.4</v>
      </c>
      <c r="R73" s="19"/>
      <c r="S73" s="22">
        <f t="shared" si="13"/>
        <v>92000</v>
      </c>
      <c r="T73" s="19"/>
      <c r="U73" s="19"/>
    </row>
    <row r="74" spans="1:21">
      <c r="A74" s="18"/>
      <c r="B74" s="19"/>
      <c r="C74" s="20"/>
      <c r="D74" s="19"/>
      <c r="E74" s="19"/>
      <c r="F74" s="19"/>
      <c r="G74" s="19"/>
      <c r="H74" s="19"/>
      <c r="I74" s="21">
        <v>4</v>
      </c>
      <c r="J74" s="19" t="s">
        <v>19</v>
      </c>
      <c r="K74" s="21" t="s">
        <v>12</v>
      </c>
      <c r="L74" s="21">
        <v>15</v>
      </c>
      <c r="M74" s="21">
        <v>1</v>
      </c>
      <c r="N74" s="22">
        <v>2500000</v>
      </c>
      <c r="O74" s="27">
        <f>10000/500</f>
        <v>20</v>
      </c>
      <c r="P74" s="27">
        <f t="shared" si="15"/>
        <v>20</v>
      </c>
      <c r="Q74" s="29">
        <f t="shared" si="17"/>
        <v>0.4</v>
      </c>
      <c r="R74" s="19"/>
      <c r="S74" s="22">
        <f t="shared" si="13"/>
        <v>1000000</v>
      </c>
      <c r="T74" s="19"/>
      <c r="U74" s="19"/>
    </row>
    <row r="75" spans="1:21">
      <c r="A75" s="18"/>
      <c r="B75" s="19"/>
      <c r="C75" s="20"/>
      <c r="D75" s="19"/>
      <c r="E75" s="19"/>
      <c r="F75" s="19"/>
      <c r="G75" s="19"/>
      <c r="H75" s="19"/>
      <c r="I75" s="21">
        <v>5</v>
      </c>
      <c r="J75" s="19" t="s">
        <v>24</v>
      </c>
      <c r="K75" s="21" t="s">
        <v>23</v>
      </c>
      <c r="L75" s="19"/>
      <c r="M75" s="21">
        <v>7</v>
      </c>
      <c r="N75" s="22">
        <v>200000</v>
      </c>
      <c r="O75" s="27">
        <f>10000/2500</f>
        <v>4</v>
      </c>
      <c r="P75" s="27">
        <f t="shared" si="15"/>
        <v>28</v>
      </c>
      <c r="Q75" s="29">
        <v>0.8</v>
      </c>
      <c r="R75" s="19"/>
      <c r="S75" s="22">
        <f t="shared" si="13"/>
        <v>1120000</v>
      </c>
      <c r="T75" s="19"/>
      <c r="U75" s="19"/>
    </row>
    <row r="76" spans="1:21">
      <c r="A76" s="30"/>
      <c r="B76" s="31"/>
      <c r="C76" s="32"/>
      <c r="D76" s="31"/>
      <c r="E76" s="31"/>
      <c r="F76" s="31"/>
      <c r="G76" s="31"/>
      <c r="H76" s="31"/>
      <c r="I76" s="31"/>
      <c r="J76" s="31" t="s">
        <v>22</v>
      </c>
      <c r="K76" s="33" t="s">
        <v>23</v>
      </c>
      <c r="L76" s="31"/>
      <c r="M76" s="33">
        <f>71+9+22</f>
        <v>102</v>
      </c>
      <c r="N76" s="34">
        <v>150000</v>
      </c>
      <c r="O76" s="40">
        <f>10000/2500</f>
        <v>4</v>
      </c>
      <c r="P76" s="40">
        <f t="shared" si="15"/>
        <v>408</v>
      </c>
      <c r="Q76" s="35">
        <v>0.8</v>
      </c>
      <c r="R76" s="31"/>
      <c r="S76" s="34">
        <f t="shared" si="13"/>
        <v>12240000</v>
      </c>
      <c r="T76" s="31"/>
      <c r="U76" s="31"/>
    </row>
    <row r="77" spans="1:21" s="3" customFormat="1" ht="29.25" customHeight="1">
      <c r="A77" s="52" t="s">
        <v>49</v>
      </c>
      <c r="B77" s="52"/>
      <c r="C77" s="52"/>
      <c r="D77" s="52"/>
      <c r="E77" s="52"/>
      <c r="F77" s="52"/>
      <c r="G77" s="52"/>
      <c r="H77" s="52"/>
      <c r="I77" s="52"/>
      <c r="J77" s="52"/>
      <c r="K77" s="52"/>
      <c r="L77" s="52"/>
      <c r="M77" s="52"/>
      <c r="N77" s="52"/>
      <c r="O77" s="52"/>
      <c r="P77" s="52"/>
      <c r="Q77" s="52"/>
      <c r="R77" s="52"/>
      <c r="S77" s="6">
        <f>SUM(S9:S76)</f>
        <v>71611777.164861694</v>
      </c>
      <c r="T77" s="2">
        <f>SUM(T9:T76)</f>
        <v>71611777.164861694</v>
      </c>
      <c r="U77" s="2">
        <f>SUM(U9:U76)</f>
        <v>71612000</v>
      </c>
    </row>
    <row r="79" spans="1:21">
      <c r="T79" s="41"/>
    </row>
  </sheetData>
  <mergeCells count="27">
    <mergeCell ref="A3:U3"/>
    <mergeCell ref="A1:U1"/>
    <mergeCell ref="A2:U2"/>
    <mergeCell ref="A5:A7"/>
    <mergeCell ref="B5:B7"/>
    <mergeCell ref="C5:C7"/>
    <mergeCell ref="D5:D7"/>
    <mergeCell ref="E5:G5"/>
    <mergeCell ref="I5:S5"/>
    <mergeCell ref="T5:T7"/>
    <mergeCell ref="U5:U7"/>
    <mergeCell ref="E6:E7"/>
    <mergeCell ref="R6:R7"/>
    <mergeCell ref="S6:S7"/>
    <mergeCell ref="P6:P7"/>
    <mergeCell ref="Q6:Q7"/>
    <mergeCell ref="L6:L7"/>
    <mergeCell ref="M6:M7"/>
    <mergeCell ref="A77:R77"/>
    <mergeCell ref="N6:N7"/>
    <mergeCell ref="O6:O7"/>
    <mergeCell ref="F6:F7"/>
    <mergeCell ref="G6:G7"/>
    <mergeCell ref="I6:I7"/>
    <mergeCell ref="J6:J7"/>
    <mergeCell ref="K6:K7"/>
    <mergeCell ref="H5:H7"/>
  </mergeCells>
  <pageMargins left="0.39370078740157483" right="0.27559055118110237" top="0.35433070866141736" bottom="0.74803149606299213" header="0.31496062992125984" footer="0.31496062992125984"/>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Phương án cây 2 hộ</vt:lpstr>
      <vt:lpstr>'Phương án cây 2 hộ'!Print_Area</vt:lpstr>
      <vt:lpstr>'Phương án cây 2 hộ'!Print_Titles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2026-09-28T09:31:23Z</cp:lastPrinted>
  <dcterms:created xsi:type="dcterms:W3CDTF">2026-09-17T11:40:50Z</dcterms:created>
  <dcterms:modified xsi:type="dcterms:W3CDTF">2026-10-09T07:39:04Z</dcterms:modified>
</cp:coreProperties>
</file>